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bookViews>
    <workbookView xWindow="0" yWindow="0" windowWidth="21555" windowHeight="9420"/>
  </bookViews>
  <sheets>
    <sheet name="Lis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1" l="1"/>
  <c r="H120" i="1"/>
  <c r="H119" i="1"/>
  <c r="F119" i="1"/>
  <c r="I119" i="1" s="1"/>
  <c r="H118" i="1"/>
  <c r="I118" i="1" s="1"/>
  <c r="H117" i="1"/>
  <c r="I117" i="1" s="1"/>
  <c r="G117" i="1"/>
  <c r="I114" i="1"/>
  <c r="I113" i="1"/>
  <c r="I112" i="1"/>
  <c r="I111" i="1" s="1"/>
  <c r="H112" i="1"/>
  <c r="G112" i="1"/>
  <c r="G111" i="1" s="1"/>
  <c r="H111" i="1"/>
  <c r="F111" i="1"/>
  <c r="I108" i="1"/>
  <c r="G108" i="1"/>
  <c r="I107" i="1"/>
  <c r="I106" i="1"/>
  <c r="H106" i="1"/>
  <c r="G106" i="1"/>
  <c r="F106" i="1"/>
  <c r="I105" i="1"/>
  <c r="H105" i="1"/>
  <c r="I104" i="1"/>
  <c r="H103" i="1"/>
  <c r="I103" i="1" s="1"/>
  <c r="H102" i="1"/>
  <c r="I102" i="1" s="1"/>
  <c r="I101" i="1" s="1"/>
  <c r="H101" i="1"/>
  <c r="G101" i="1"/>
  <c r="F101" i="1"/>
  <c r="H99" i="1"/>
  <c r="I99" i="1" s="1"/>
  <c r="G99" i="1"/>
  <c r="I98" i="1"/>
  <c r="H98" i="1"/>
  <c r="G98" i="1"/>
  <c r="H97" i="1"/>
  <c r="I97" i="1" s="1"/>
  <c r="G97" i="1"/>
  <c r="I96" i="1"/>
  <c r="G96" i="1"/>
  <c r="I95" i="1"/>
  <c r="H95" i="1"/>
  <c r="G95" i="1"/>
  <c r="H94" i="1"/>
  <c r="I94" i="1" s="1"/>
  <c r="I93" i="1" s="1"/>
  <c r="H93" i="1"/>
  <c r="G93" i="1"/>
  <c r="F93" i="1"/>
  <c r="H92" i="1"/>
  <c r="I92" i="1" s="1"/>
  <c r="I90" i="1" s="1"/>
  <c r="I91" i="1"/>
  <c r="G90" i="1"/>
  <c r="F90" i="1"/>
  <c r="I89" i="1"/>
  <c r="H89" i="1"/>
  <c r="I88" i="1"/>
  <c r="H88" i="1"/>
  <c r="I87" i="1"/>
  <c r="H87" i="1"/>
  <c r="G87" i="1"/>
  <c r="F87" i="1"/>
  <c r="I86" i="1"/>
  <c r="H86" i="1"/>
  <c r="G86" i="1"/>
  <c r="H85" i="1"/>
  <c r="I85" i="1" s="1"/>
  <c r="I80" i="1" s="1"/>
  <c r="I84" i="1"/>
  <c r="I83" i="1"/>
  <c r="H83" i="1"/>
  <c r="I82" i="1"/>
  <c r="H82" i="1"/>
  <c r="I81" i="1"/>
  <c r="H81" i="1"/>
  <c r="G80" i="1"/>
  <c r="F80" i="1"/>
  <c r="I79" i="1"/>
  <c r="H79" i="1"/>
  <c r="I78" i="1"/>
  <c r="H78" i="1"/>
  <c r="I77" i="1"/>
  <c r="I76" i="1"/>
  <c r="I75" i="1"/>
  <c r="I74" i="1"/>
  <c r="I73" i="1"/>
  <c r="I72" i="1"/>
  <c r="I71" i="1"/>
  <c r="H71" i="1"/>
  <c r="I70" i="1"/>
  <c r="H70" i="1"/>
  <c r="F70" i="1"/>
  <c r="H69" i="1"/>
  <c r="I69" i="1" s="1"/>
  <c r="F68" i="1"/>
  <c r="I68" i="1" s="1"/>
  <c r="H67" i="1"/>
  <c r="I67" i="1" s="1"/>
  <c r="F67" i="1"/>
  <c r="H66" i="1"/>
  <c r="F66" i="1"/>
  <c r="I66" i="1" s="1"/>
  <c r="H65" i="1"/>
  <c r="G65" i="1"/>
  <c r="F65" i="1"/>
  <c r="G64" i="1"/>
  <c r="I62" i="1"/>
  <c r="H62" i="1"/>
  <c r="I61" i="1"/>
  <c r="H61" i="1"/>
  <c r="I60" i="1"/>
  <c r="H60" i="1"/>
  <c r="I59" i="1"/>
  <c r="H59" i="1"/>
  <c r="G59" i="1"/>
  <c r="F59" i="1"/>
  <c r="I58" i="1"/>
  <c r="H58" i="1"/>
  <c r="G58" i="1"/>
  <c r="H50" i="1"/>
  <c r="I50" i="1" s="1"/>
  <c r="G50" i="1"/>
  <c r="F50" i="1"/>
  <c r="H48" i="1"/>
  <c r="I48" i="1" s="1"/>
  <c r="H47" i="1"/>
  <c r="I47" i="1" s="1"/>
  <c r="H46" i="1"/>
  <c r="G46" i="1"/>
  <c r="F46" i="1"/>
  <c r="H45" i="1"/>
  <c r="I45" i="1" s="1"/>
  <c r="H44" i="1"/>
  <c r="I44" i="1" s="1"/>
  <c r="I43" i="1" s="1"/>
  <c r="H43" i="1"/>
  <c r="G43" i="1"/>
  <c r="F43" i="1"/>
  <c r="H41" i="1"/>
  <c r="I41" i="1" s="1"/>
  <c r="I40" i="1"/>
  <c r="I39" i="1"/>
  <c r="I38" i="1"/>
  <c r="I37" i="1"/>
  <c r="I36" i="1"/>
  <c r="I35" i="1"/>
  <c r="H35" i="1"/>
  <c r="G35" i="1"/>
  <c r="G22" i="1" s="1"/>
  <c r="G122" i="1" s="1"/>
  <c r="F35" i="1"/>
  <c r="I34" i="1"/>
  <c r="H34" i="1"/>
  <c r="I33" i="1"/>
  <c r="H33" i="1"/>
  <c r="I32" i="1"/>
  <c r="H31" i="1"/>
  <c r="I31" i="1" s="1"/>
  <c r="I30" i="1"/>
  <c r="I29" i="1"/>
  <c r="H28" i="1"/>
  <c r="I28" i="1" s="1"/>
  <c r="I27" i="1"/>
  <c r="I26" i="1"/>
  <c r="I25" i="1"/>
  <c r="I24" i="1"/>
  <c r="I23" i="1" s="1"/>
  <c r="I22" i="1" s="1"/>
  <c r="H23" i="1"/>
  <c r="G23" i="1"/>
  <c r="F23" i="1"/>
  <c r="H22" i="1"/>
  <c r="F22" i="1"/>
  <c r="H21" i="1"/>
  <c r="I21" i="1" s="1"/>
  <c r="H20" i="1"/>
  <c r="I20" i="1" s="1"/>
  <c r="H19" i="1"/>
  <c r="I19" i="1" s="1"/>
  <c r="H18" i="1"/>
  <c r="I18" i="1" s="1"/>
  <c r="H17" i="1"/>
  <c r="I17" i="1" s="1"/>
  <c r="G17" i="1"/>
  <c r="F17" i="1"/>
  <c r="F122" i="1" s="1"/>
  <c r="H16" i="1"/>
  <c r="I16" i="1" s="1"/>
  <c r="G16" i="1"/>
  <c r="I15" i="1"/>
  <c r="H15" i="1"/>
  <c r="F123" i="1" l="1"/>
  <c r="I46" i="1"/>
  <c r="I122" i="1" s="1"/>
  <c r="I65" i="1"/>
  <c r="H80" i="1"/>
  <c r="H122" i="1" s="1"/>
  <c r="H90" i="1"/>
</calcChain>
</file>

<file path=xl/sharedStrings.xml><?xml version="1.0" encoding="utf-8"?>
<sst xmlns="http://schemas.openxmlformats.org/spreadsheetml/2006/main" count="178" uniqueCount="166">
  <si>
    <t>REPUBLIKA HRVATSKA</t>
  </si>
  <si>
    <t>ZAGREBAČKA ŽUPANIJA</t>
  </si>
  <si>
    <t>OSNOVNA ŠKOLA ĐURE DEŽELIĆA IVANIĆ-GRAD</t>
  </si>
  <si>
    <t>Na osnovi odredaba Zakona o javnoj nabavi ( NN, broj 120/16), te članka 29. Statuta OŠ Đure Deželića Ivanić-Grad,  Školski odbor donosi slijedeći:</t>
  </si>
  <si>
    <t xml:space="preserve">IZMJENA GODIŠNJEG PLANA NABAVE ZA 2021. GODINU </t>
  </si>
  <si>
    <t>Red
broj</t>
  </si>
  <si>
    <t>Pozicija iz financij.
plana</t>
  </si>
  <si>
    <t>Evidencijski broj nabave</t>
  </si>
  <si>
    <t>Predmet nabave</t>
  </si>
  <si>
    <t>CPV</t>
  </si>
  <si>
    <t>PROCIJENJENA VRIJEDNOST NABAVE BEZ     PDV-a</t>
  </si>
  <si>
    <t>SKLOPLJENI UGOVORI/IZDANE NARUDŽBENICE</t>
  </si>
  <si>
    <t>IZMJENA PLANA NABAVE</t>
  </si>
  <si>
    <t>fin. plan bruto -neto</t>
  </si>
  <si>
    <t>1.</t>
  </si>
  <si>
    <t>2.</t>
  </si>
  <si>
    <t>3.</t>
  </si>
  <si>
    <t>4.</t>
  </si>
  <si>
    <t>5.</t>
  </si>
  <si>
    <t>6.</t>
  </si>
  <si>
    <t>7.</t>
  </si>
  <si>
    <t>8.</t>
  </si>
  <si>
    <t>Naknade troškova zaposlenima</t>
  </si>
  <si>
    <t>Službena putovanja (naknade za smještak i prijevoz)</t>
  </si>
  <si>
    <t>Stručno usavršavanje zaposlenika</t>
  </si>
  <si>
    <t>Uredski materijal i ostali materijalni rashodi</t>
  </si>
  <si>
    <t>Uredski materijal</t>
  </si>
  <si>
    <t>literatura (publikacije i časopisi)</t>
  </si>
  <si>
    <t xml:space="preserve">materijal i sredstva za čišćenje </t>
  </si>
  <si>
    <t>ostali  potrošni materijal</t>
  </si>
  <si>
    <t>Materijali i sirovine</t>
  </si>
  <si>
    <t>Meso i mesne prerađevine</t>
  </si>
  <si>
    <t xml:space="preserve">svinjetina </t>
  </si>
  <si>
    <t>15113000-3</t>
  </si>
  <si>
    <t>piletina</t>
  </si>
  <si>
    <t>15112000-6</t>
  </si>
  <si>
    <t>puretina</t>
  </si>
  <si>
    <t>junetina, govedina, teletina</t>
  </si>
  <si>
    <t>15131200-7</t>
  </si>
  <si>
    <t>suhomesnati i drugi kobas.proizvodi</t>
  </si>
  <si>
    <t>mesne konzerve i mesni pripravci</t>
  </si>
  <si>
    <t>Riba i riblje prerađevine</t>
  </si>
  <si>
    <t>Svježe voće</t>
  </si>
  <si>
    <t>Svježe povrće</t>
  </si>
  <si>
    <t>Konzervirano i smrznuto voće i povrće</t>
  </si>
  <si>
    <t>15300000-1</t>
  </si>
  <si>
    <t>Osnovne prehrambene namirnice (šećer, sol, brašno, ocat, riža, tjestenina, palenta, ulje, začini, cornflakes)</t>
  </si>
  <si>
    <t>15800000-6</t>
  </si>
  <si>
    <t>Mlijeko i mliječni proizvodi</t>
  </si>
  <si>
    <t>mlijeko</t>
  </si>
  <si>
    <t>15500000-3</t>
  </si>
  <si>
    <t xml:space="preserve">svježi sir </t>
  </si>
  <si>
    <t>15542000-9</t>
  </si>
  <si>
    <t>vrhnje</t>
  </si>
  <si>
    <t>15512000-0</t>
  </si>
  <si>
    <t>jogurt</t>
  </si>
  <si>
    <t>15551300-8</t>
  </si>
  <si>
    <t>ostali mliječni proizvodi (maslac, namazi)</t>
  </si>
  <si>
    <t>15550000-8</t>
  </si>
  <si>
    <t>Kruh i pekarski proizvodi</t>
  </si>
  <si>
    <t>15810000-9</t>
  </si>
  <si>
    <t>Energija -</t>
  </si>
  <si>
    <t>Električna energija</t>
  </si>
  <si>
    <t>09310000-5</t>
  </si>
  <si>
    <t>Plin</t>
  </si>
  <si>
    <t>09123000-7</t>
  </si>
  <si>
    <t xml:space="preserve">Materijal i dijelovi za tek. i inv.održavanje </t>
  </si>
  <si>
    <t>44500000-5</t>
  </si>
  <si>
    <t>Materijal i dijelovi za tek. i inv.održavanje građevine</t>
  </si>
  <si>
    <t>Materijal i dijelovi za tek. i inv.održavanje postrojenja i opreme</t>
  </si>
  <si>
    <t>Sitan inventar</t>
  </si>
  <si>
    <t>29.</t>
  </si>
  <si>
    <t>30.</t>
  </si>
  <si>
    <t>Službena, radna i zaštitna odjeća i obuća</t>
  </si>
  <si>
    <t>SI-uredska oprema 30190</t>
  </si>
  <si>
    <t>SI-računalna oprema</t>
  </si>
  <si>
    <t>SI-kuhinjska oprema</t>
  </si>
  <si>
    <t>SI-oprema za nastavu</t>
  </si>
  <si>
    <t>SI-ostalo</t>
  </si>
  <si>
    <t>Usluge telefona,pošte i prijevoza</t>
  </si>
  <si>
    <t>prijevoz učenika - izleti</t>
  </si>
  <si>
    <t>poštarina</t>
  </si>
  <si>
    <t>usluge telefona,telefaxa</t>
  </si>
  <si>
    <t>Usluge promidžbe i informiranja</t>
  </si>
  <si>
    <t>9.</t>
  </si>
  <si>
    <t>Usluge tekućeg i investicijskog održavanja</t>
  </si>
  <si>
    <t>Sanacija zgrade nakon štete uzrokovane potresom-faza I-hitna</t>
  </si>
  <si>
    <t>Sanacija zgrade nakon štete uzrokovane potresom-faza II-nadstrešnica</t>
  </si>
  <si>
    <t>Sanacija zgrade nakon štete uzrokovane potresom-faza III</t>
  </si>
  <si>
    <t>Sanacija kotlovnice</t>
  </si>
  <si>
    <t>Tekuće i investicijsko održavanje zgrade škole</t>
  </si>
  <si>
    <t>popravak centralnog grijanja</t>
  </si>
  <si>
    <t>radovi na električnim instalacijama</t>
  </si>
  <si>
    <t>servisi aparata, strojeva</t>
  </si>
  <si>
    <t>ispitivanje instalacija</t>
  </si>
  <si>
    <t>staklarske usluge</t>
  </si>
  <si>
    <t>radovi na vodovodnim i kanalizacijskim instalacijama</t>
  </si>
  <si>
    <t>usluge popravaka opreme</t>
  </si>
  <si>
    <t>popravak i održavanje računalne opreme</t>
  </si>
  <si>
    <t>ostale  usluge</t>
  </si>
  <si>
    <t>10.</t>
  </si>
  <si>
    <t>Komunalne usluge</t>
  </si>
  <si>
    <t>opskrba vodom</t>
  </si>
  <si>
    <t>odvoz smeća</t>
  </si>
  <si>
    <t>deratizacija</t>
  </si>
  <si>
    <t>dimnjačarske usluge</t>
  </si>
  <si>
    <t>ostale komunalne usluge</t>
  </si>
  <si>
    <t>11.</t>
  </si>
  <si>
    <t>Zakupnine i najamnine</t>
  </si>
  <si>
    <t>12.</t>
  </si>
  <si>
    <t>Zdravstvene usluge</t>
  </si>
  <si>
    <t>Obvezni preventivni i zdr.pregledi</t>
  </si>
  <si>
    <t>Sanitarne i ostale usluge</t>
  </si>
  <si>
    <t>13.</t>
  </si>
  <si>
    <t>Intelektualne i osobne usluge</t>
  </si>
  <si>
    <t xml:space="preserve">ugovori o djelu </t>
  </si>
  <si>
    <t>ostale intelekt.usluge-vođenje zaš.na radu, osposobljavanje</t>
  </si>
  <si>
    <t>14.</t>
  </si>
  <si>
    <t>Računalne usluge</t>
  </si>
  <si>
    <t>Ostale računalne usluge</t>
  </si>
  <si>
    <t>15.</t>
  </si>
  <si>
    <t xml:space="preserve">Ostale usluge </t>
  </si>
  <si>
    <t>Premije osiguranja učenika</t>
  </si>
  <si>
    <t>18.</t>
  </si>
  <si>
    <t>Reprezentacija</t>
  </si>
  <si>
    <t>19.</t>
  </si>
  <si>
    <t>Članarine</t>
  </si>
  <si>
    <t>20.</t>
  </si>
  <si>
    <t>Pristojbe i naknade</t>
  </si>
  <si>
    <t>21.</t>
  </si>
  <si>
    <t>Troškovi sudskih postupaka</t>
  </si>
  <si>
    <t>22.</t>
  </si>
  <si>
    <t>Ostali nespomenuti rashodi poslovanja</t>
  </si>
  <si>
    <t>rashodi za protokol</t>
  </si>
  <si>
    <t>rashodi za uređenje okoliša</t>
  </si>
  <si>
    <t>rashodi za provjeru vjerodostojnosti isprava</t>
  </si>
  <si>
    <t>ostali rashodi (provizija)</t>
  </si>
  <si>
    <t>23.</t>
  </si>
  <si>
    <t>Bankarske usluge i usluge platnog prometa</t>
  </si>
  <si>
    <t>Usluge banaka i pl. prometa</t>
  </si>
  <si>
    <t>24.</t>
  </si>
  <si>
    <t>Materijal i dijelovi za tekuće i investic. održavanje zgrade i opreme</t>
  </si>
  <si>
    <t>25.</t>
  </si>
  <si>
    <t>Poslovni objekti</t>
  </si>
  <si>
    <t>Zgrade znanstvenih i obrazovnih institucija</t>
  </si>
  <si>
    <t>26.</t>
  </si>
  <si>
    <t>Postrojenja i oprema</t>
  </si>
  <si>
    <t>Ostala uredska oprema i namještaj</t>
  </si>
  <si>
    <t>Računala i računalna oprema</t>
  </si>
  <si>
    <t>Ostala uredska oprema</t>
  </si>
  <si>
    <t>27.</t>
  </si>
  <si>
    <t>Komunikacijska oprema</t>
  </si>
  <si>
    <t>28.</t>
  </si>
  <si>
    <t>Sportska i glazbena oprema</t>
  </si>
  <si>
    <t>Uređaji,strojevi i oprema za ostale namjene-kuhinja</t>
  </si>
  <si>
    <t>Knjige za knjižnicu</t>
  </si>
  <si>
    <t>424111, 37229</t>
  </si>
  <si>
    <t>Udžbenici, radne bilježnice i ostali radni materijal</t>
  </si>
  <si>
    <t>31.</t>
  </si>
  <si>
    <t>Dodatna ulaganja</t>
  </si>
  <si>
    <t>UKUPNO:</t>
  </si>
  <si>
    <t>Ivanić-Grad, 21.12.2021.</t>
  </si>
  <si>
    <t>Ravnatelj:</t>
  </si>
  <si>
    <t>Predsjednica Školskog odbora:</t>
  </si>
  <si>
    <t>Mileo Todić</t>
  </si>
  <si>
    <t>Romana Orlić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</si>
</sst>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8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5" xfId="0" applyFont="1" applyBorder="1"/>
    <xf numFmtId="4" fontId="8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/>
    <xf numFmtId="164" fontId="4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/>
    <xf numFmtId="0" fontId="0" fillId="0" borderId="1" xfId="0" applyBorder="1" applyAlignment="1"/>
    <xf numFmtId="0" fontId="9" fillId="0" borderId="5" xfId="0" applyFont="1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/>
    <xf numFmtId="0" fontId="0" fillId="0" borderId="6" xfId="0" applyBorder="1" applyAlignment="1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0" fillId="0" borderId="3" xfId="0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4" fontId="10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2" fontId="4" fillId="0" borderId="5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7" fillId="0" borderId="5" xfId="0" applyFont="1" applyBorder="1" applyAlignment="1">
      <alignment wrapText="1"/>
    </xf>
    <xf numFmtId="4" fontId="10" fillId="0" borderId="5" xfId="0" applyNumberFormat="1" applyFont="1" applyBorder="1"/>
    <xf numFmtId="4" fontId="4" fillId="0" borderId="5" xfId="0" applyNumberFormat="1" applyFont="1" applyBorder="1"/>
    <xf numFmtId="0" fontId="11" fillId="0" borderId="5" xfId="0" applyFont="1" applyBorder="1"/>
    <xf numFmtId="4" fontId="9" fillId="0" borderId="5" xfId="0" applyNumberFormat="1" applyFont="1" applyBorder="1"/>
    <xf numFmtId="4" fontId="8" fillId="0" borderId="5" xfId="0" applyNumberFormat="1" applyFont="1" applyBorder="1"/>
    <xf numFmtId="2" fontId="4" fillId="0" borderId="5" xfId="0" applyNumberFormat="1" applyFont="1" applyBorder="1"/>
    <xf numFmtId="2" fontId="4" fillId="0" borderId="5" xfId="0" applyNumberFormat="1" applyFont="1" applyBorder="1" applyAlignment="1">
      <alignment horizontal="right" wrapText="1"/>
    </xf>
    <xf numFmtId="0" fontId="0" fillId="0" borderId="6" xfId="0" applyBorder="1" applyAlignment="1">
      <alignment horizontal="center"/>
    </xf>
    <xf numFmtId="0" fontId="4" fillId="0" borderId="6" xfId="0" applyFont="1" applyBorder="1" applyAlignment="1"/>
    <xf numFmtId="0" fontId="3" fillId="0" borderId="5" xfId="0" applyFont="1" applyBorder="1" applyAlignment="1">
      <alignment horizontal="center"/>
    </xf>
    <xf numFmtId="2" fontId="4" fillId="0" borderId="0" xfId="0" applyNumberFormat="1" applyFont="1" applyBorder="1" applyAlignment="1"/>
    <xf numFmtId="0" fontId="2" fillId="0" borderId="5" xfId="0" applyFont="1" applyBorder="1" applyAlignment="1">
      <alignment horizontal="center"/>
    </xf>
    <xf numFmtId="0" fontId="0" fillId="0" borderId="5" xfId="0" applyBorder="1"/>
    <xf numFmtId="2" fontId="4" fillId="0" borderId="0" xfId="0" applyNumberFormat="1" applyFont="1" applyBorder="1" applyAlignment="1"/>
    <xf numFmtId="2" fontId="8" fillId="0" borderId="5" xfId="0" applyNumberFormat="1" applyFont="1" applyBorder="1"/>
    <xf numFmtId="2" fontId="8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12" fillId="0" borderId="5" xfId="0" applyFont="1" applyBorder="1"/>
    <xf numFmtId="0" fontId="13" fillId="0" borderId="5" xfId="0" applyFont="1" applyBorder="1"/>
    <xf numFmtId="4" fontId="14" fillId="0" borderId="5" xfId="0" applyNumberFormat="1" applyFont="1" applyBorder="1" applyAlignment="1">
      <alignment horizontal="right"/>
    </xf>
    <xf numFmtId="4" fontId="15" fillId="0" borderId="5" xfId="0" applyNumberFormat="1" applyFont="1" applyBorder="1" applyAlignment="1">
      <alignment horizontal="right"/>
    </xf>
    <xf numFmtId="0" fontId="16" fillId="0" borderId="5" xfId="0" applyFont="1" applyBorder="1"/>
    <xf numFmtId="2" fontId="4" fillId="0" borderId="7" xfId="0" applyNumberFormat="1" applyFont="1" applyBorder="1" applyAlignment="1"/>
    <xf numFmtId="0" fontId="4" fillId="0" borderId="1" xfId="0" applyFont="1" applyBorder="1" applyAlignment="1"/>
    <xf numFmtId="0" fontId="4" fillId="0" borderId="5" xfId="0" applyNumberFormat="1" applyFont="1" applyBorder="1"/>
    <xf numFmtId="0" fontId="3" fillId="0" borderId="5" xfId="0" applyNumberFormat="1" applyFont="1" applyBorder="1"/>
    <xf numFmtId="0" fontId="3" fillId="0" borderId="3" xfId="0" applyFont="1" applyBorder="1" applyAlignment="1">
      <alignment horizontal="center" vertical="center"/>
    </xf>
    <xf numFmtId="0" fontId="8" fillId="0" borderId="5" xfId="0" applyFont="1" applyBorder="1"/>
    <xf numFmtId="0" fontId="17" fillId="0" borderId="5" xfId="0" applyFont="1" applyBorder="1"/>
    <xf numFmtId="4" fontId="8" fillId="0" borderId="5" xfId="0" applyNumberFormat="1" applyFont="1" applyFill="1" applyBorder="1" applyAlignment="1">
      <alignment horizontal="right"/>
    </xf>
    <xf numFmtId="0" fontId="4" fillId="0" borderId="5" xfId="0" applyFont="1" applyBorder="1" applyAlignment="1">
      <alignment wrapText="1"/>
    </xf>
    <xf numFmtId="0" fontId="2" fillId="0" borderId="5" xfId="0" applyFont="1" applyBorder="1"/>
    <xf numFmtId="0" fontId="4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4" fontId="8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2" fontId="4" fillId="0" borderId="10" xfId="0" applyNumberFormat="1" applyFont="1" applyBorder="1" applyAlignment="1"/>
    <xf numFmtId="0" fontId="2" fillId="0" borderId="11" xfId="0" applyFont="1" applyBorder="1" applyAlignment="1"/>
    <xf numFmtId="0" fontId="0" fillId="0" borderId="0" xfId="0" applyBorder="1"/>
    <xf numFmtId="0" fontId="2" fillId="0" borderId="0" xfId="0" applyFont="1" applyBorder="1" applyAlignment="1"/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189230</xdr:colOff>
      <xdr:row>4</xdr:row>
      <xdr:rowOff>177165</xdr:rowOff>
    </xdr:to>
    <xdr:pic>
      <xdr:nvPicPr>
        <xdr:cNvPr id="2" name="Slika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85725"/>
          <a:ext cx="646430" cy="853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topLeftCell="A70" workbookViewId="0">
      <selection activeCell="J11" sqref="J11:K12"/>
    </sheetView>
  </sheetViews>
  <sheetFormatPr defaultRowHeight="15" x14ac:dyDescent="0.25"/>
  <sheetData>
    <row r="1" spans="1:11" ht="20.25" x14ac:dyDescent="0.3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11" x14ac:dyDescent="0.25">
      <c r="A2" s="3"/>
      <c r="B2" s="3"/>
      <c r="C2" s="3"/>
      <c r="D2" s="4" t="s">
        <v>1</v>
      </c>
      <c r="E2" s="3"/>
      <c r="F2" s="3"/>
      <c r="G2" s="3"/>
      <c r="H2" s="3"/>
      <c r="I2" s="3"/>
    </row>
    <row r="3" spans="1:11" x14ac:dyDescent="0.25">
      <c r="A3" s="3"/>
      <c r="B3" s="3"/>
      <c r="C3" s="3"/>
      <c r="D3" s="5" t="s">
        <v>2</v>
      </c>
      <c r="E3" s="3"/>
      <c r="F3" s="3"/>
      <c r="G3" s="3"/>
      <c r="H3" s="3"/>
      <c r="I3" s="3"/>
    </row>
    <row r="4" spans="1:11" x14ac:dyDescent="0.25">
      <c r="A4" s="6"/>
      <c r="B4" s="7"/>
      <c r="C4" s="6"/>
      <c r="D4" s="6"/>
      <c r="E4" s="6"/>
      <c r="H4" s="8"/>
    </row>
    <row r="5" spans="1:11" x14ac:dyDescent="0.25">
      <c r="A5" s="9"/>
      <c r="B5" s="10"/>
      <c r="C5" s="10"/>
      <c r="D5" s="9"/>
      <c r="E5" s="11"/>
      <c r="H5" s="8"/>
    </row>
    <row r="6" spans="1:11" x14ac:dyDescent="0.25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4"/>
      <c r="B8" s="14" t="s">
        <v>4</v>
      </c>
      <c r="C8" s="14"/>
      <c r="D8" s="10"/>
      <c r="E8" s="10"/>
      <c r="F8" s="10"/>
      <c r="G8" s="10"/>
      <c r="H8" s="10"/>
      <c r="I8" s="10"/>
    </row>
    <row r="9" spans="1:11" x14ac:dyDescent="0.25">
      <c r="B9" s="7"/>
      <c r="H9" s="8"/>
    </row>
    <row r="10" spans="1:11" x14ac:dyDescent="0.25">
      <c r="B10" s="7"/>
      <c r="H10" s="8"/>
    </row>
    <row r="11" spans="1:11" x14ac:dyDescent="0.25">
      <c r="A11" s="15" t="s">
        <v>5</v>
      </c>
      <c r="B11" s="15" t="s">
        <v>6</v>
      </c>
      <c r="C11" s="16" t="s">
        <v>7</v>
      </c>
      <c r="D11" s="17" t="s">
        <v>8</v>
      </c>
      <c r="E11" s="15" t="s">
        <v>9</v>
      </c>
      <c r="F11" s="15" t="s">
        <v>10</v>
      </c>
      <c r="G11" s="18"/>
      <c r="H11" s="15" t="s">
        <v>11</v>
      </c>
      <c r="I11" s="15" t="s">
        <v>12</v>
      </c>
      <c r="J11" s="19"/>
      <c r="K11" s="20"/>
    </row>
    <row r="12" spans="1:11" x14ac:dyDescent="0.25">
      <c r="A12" s="21"/>
      <c r="B12" s="21"/>
      <c r="C12" s="22"/>
      <c r="D12" s="23"/>
      <c r="E12" s="24"/>
      <c r="F12" s="24"/>
      <c r="G12" s="25" t="s">
        <v>13</v>
      </c>
      <c r="H12" s="24"/>
      <c r="I12" s="24"/>
      <c r="J12" s="26"/>
      <c r="K12" s="20"/>
    </row>
    <row r="13" spans="1:11" x14ac:dyDescent="0.25">
      <c r="A13" s="27" t="s">
        <v>14</v>
      </c>
      <c r="B13" s="27" t="s">
        <v>15</v>
      </c>
      <c r="C13" s="27" t="s">
        <v>16</v>
      </c>
      <c r="D13" s="27" t="s">
        <v>17</v>
      </c>
      <c r="E13" s="27" t="s">
        <v>18</v>
      </c>
      <c r="F13" s="27" t="s">
        <v>19</v>
      </c>
      <c r="G13" s="27"/>
      <c r="H13" s="27" t="s">
        <v>20</v>
      </c>
      <c r="I13" s="27" t="s">
        <v>21</v>
      </c>
      <c r="J13" s="28"/>
      <c r="K13" s="28"/>
    </row>
    <row r="14" spans="1:11" x14ac:dyDescent="0.25">
      <c r="A14" s="29"/>
      <c r="B14" s="27"/>
      <c r="C14" s="27"/>
      <c r="D14" s="30" t="s">
        <v>22</v>
      </c>
      <c r="E14" s="30"/>
      <c r="F14" s="27"/>
      <c r="G14" s="27"/>
      <c r="H14" s="31"/>
      <c r="I14" s="27"/>
      <c r="J14" s="32"/>
      <c r="K14" s="32"/>
    </row>
    <row r="15" spans="1:11" x14ac:dyDescent="0.25">
      <c r="A15" s="29"/>
      <c r="B15" s="33">
        <v>3211</v>
      </c>
      <c r="C15" s="27" t="s">
        <v>14</v>
      </c>
      <c r="D15" s="30" t="s">
        <v>23</v>
      </c>
      <c r="E15" s="30"/>
      <c r="F15" s="34">
        <v>10000</v>
      </c>
      <c r="G15" s="35"/>
      <c r="H15" s="34">
        <f>542/1.25+1963.4</f>
        <v>2397</v>
      </c>
      <c r="I15" s="34">
        <f>H15-F15</f>
        <v>-7603</v>
      </c>
      <c r="J15" s="32"/>
      <c r="K15" s="32"/>
    </row>
    <row r="16" spans="1:11" x14ac:dyDescent="0.25">
      <c r="A16" s="29"/>
      <c r="B16" s="33">
        <v>3213</v>
      </c>
      <c r="C16" s="27" t="s">
        <v>15</v>
      </c>
      <c r="D16" s="30" t="s">
        <v>24</v>
      </c>
      <c r="E16" s="30"/>
      <c r="F16" s="34">
        <v>12000</v>
      </c>
      <c r="G16" s="34">
        <f>15000/1.25</f>
        <v>12000</v>
      </c>
      <c r="H16" s="34">
        <f>14087.5/1.25</f>
        <v>11270</v>
      </c>
      <c r="I16" s="34">
        <f t="shared" ref="I16:I21" si="0">H16-F16</f>
        <v>-730</v>
      </c>
      <c r="J16" s="32"/>
      <c r="K16" s="32"/>
    </row>
    <row r="17" spans="1:11" x14ac:dyDescent="0.25">
      <c r="A17" s="36" t="s">
        <v>14</v>
      </c>
      <c r="B17" s="33">
        <v>3221</v>
      </c>
      <c r="C17" s="37"/>
      <c r="D17" s="30" t="s">
        <v>25</v>
      </c>
      <c r="E17" s="30"/>
      <c r="F17" s="34">
        <f>SUM(F18:F21)</f>
        <v>62812.800000000003</v>
      </c>
      <c r="G17" s="34">
        <f t="shared" ref="G17:H17" si="1">SUM(G18:G21)</f>
        <v>0</v>
      </c>
      <c r="H17" s="34">
        <f t="shared" si="1"/>
        <v>85505.808000000005</v>
      </c>
      <c r="I17" s="34">
        <f t="shared" si="0"/>
        <v>22693.008000000002</v>
      </c>
      <c r="J17" s="38"/>
      <c r="K17" s="38"/>
    </row>
    <row r="18" spans="1:11" x14ac:dyDescent="0.25">
      <c r="A18" s="39"/>
      <c r="B18" s="40"/>
      <c r="C18" s="41"/>
      <c r="D18" s="42" t="s">
        <v>26</v>
      </c>
      <c r="E18" s="42"/>
      <c r="F18" s="35">
        <v>30812.799999999999</v>
      </c>
      <c r="G18" s="35"/>
      <c r="H18" s="35">
        <f>(34357.39+14721.41+19635.98)/1.25</f>
        <v>54971.824000000001</v>
      </c>
      <c r="I18" s="35">
        <f t="shared" si="0"/>
        <v>24159.024000000001</v>
      </c>
      <c r="J18" s="43"/>
      <c r="K18" s="43"/>
    </row>
    <row r="19" spans="1:11" x14ac:dyDescent="0.25">
      <c r="A19" s="39"/>
      <c r="B19" s="44"/>
      <c r="C19" s="45"/>
      <c r="D19" s="42" t="s">
        <v>27</v>
      </c>
      <c r="E19" s="42"/>
      <c r="F19" s="35">
        <v>4000</v>
      </c>
      <c r="G19" s="35"/>
      <c r="H19" s="35">
        <f>(1708.1+300)/1.25</f>
        <v>1606.48</v>
      </c>
      <c r="I19" s="35">
        <f t="shared" si="0"/>
        <v>-2393.52</v>
      </c>
      <c r="J19" s="43"/>
      <c r="K19" s="43"/>
    </row>
    <row r="20" spans="1:11" x14ac:dyDescent="0.25">
      <c r="A20" s="39"/>
      <c r="B20" s="44"/>
      <c r="C20" s="45"/>
      <c r="D20" s="42" t="s">
        <v>28</v>
      </c>
      <c r="E20" s="42"/>
      <c r="F20" s="35">
        <v>20000</v>
      </c>
      <c r="G20" s="35"/>
      <c r="H20" s="35">
        <f>3578.67/1.25</f>
        <v>2862.9360000000001</v>
      </c>
      <c r="I20" s="35">
        <f t="shared" si="0"/>
        <v>-17137.063999999998</v>
      </c>
      <c r="J20" s="43"/>
      <c r="K20" s="43"/>
    </row>
    <row r="21" spans="1:11" x14ac:dyDescent="0.25">
      <c r="A21" s="46"/>
      <c r="B21" s="47"/>
      <c r="C21" s="48"/>
      <c r="D21" s="42" t="s">
        <v>29</v>
      </c>
      <c r="E21" s="42"/>
      <c r="F21" s="35">
        <v>8000</v>
      </c>
      <c r="G21" s="35"/>
      <c r="H21" s="35">
        <f>(31964.71+616)/1.25</f>
        <v>26064.567999999999</v>
      </c>
      <c r="I21" s="35">
        <f t="shared" si="0"/>
        <v>18064.567999999999</v>
      </c>
      <c r="J21" s="43"/>
      <c r="K21" s="43"/>
    </row>
    <row r="22" spans="1:11" x14ac:dyDescent="0.25">
      <c r="A22" s="36" t="s">
        <v>15</v>
      </c>
      <c r="B22" s="49">
        <v>3222</v>
      </c>
      <c r="C22" s="50"/>
      <c r="D22" s="30" t="s">
        <v>30</v>
      </c>
      <c r="E22" s="30"/>
      <c r="F22" s="34">
        <f>F23+F30+F31+F32+F33+F34+F35+F41</f>
        <v>287000</v>
      </c>
      <c r="G22" s="34">
        <f t="shared" ref="G22:I22" si="2">G23+G30+G31+G32+G33+G34+G35+G41</f>
        <v>0</v>
      </c>
      <c r="H22" s="34">
        <f>H23+H30+H31+H32+H33+H34+H35+H41</f>
        <v>226285</v>
      </c>
      <c r="I22" s="34">
        <f t="shared" si="2"/>
        <v>-11397</v>
      </c>
      <c r="J22" s="43"/>
      <c r="K22" s="43"/>
    </row>
    <row r="23" spans="1:11" x14ac:dyDescent="0.25">
      <c r="A23" s="39"/>
      <c r="B23" s="40"/>
      <c r="C23" s="51"/>
      <c r="D23" s="30" t="s">
        <v>31</v>
      </c>
      <c r="E23" s="42"/>
      <c r="F23" s="52">
        <f>SUM(F24:F29)</f>
        <v>96000</v>
      </c>
      <c r="G23" s="52">
        <f t="shared" ref="G23" si="3">SUM(G24:G29)</f>
        <v>0</v>
      </c>
      <c r="H23" s="52">
        <f>SUM(H24:H29)</f>
        <v>67240</v>
      </c>
      <c r="I23" s="52">
        <f>SUM(I24:I29)</f>
        <v>-28760</v>
      </c>
      <c r="J23" s="43"/>
      <c r="K23" s="43"/>
    </row>
    <row r="24" spans="1:11" x14ac:dyDescent="0.25">
      <c r="A24" s="53"/>
      <c r="B24" s="44"/>
      <c r="C24" s="45"/>
      <c r="D24" s="42" t="s">
        <v>32</v>
      </c>
      <c r="E24" s="42" t="s">
        <v>33</v>
      </c>
      <c r="F24" s="35">
        <v>10000</v>
      </c>
      <c r="G24" s="35"/>
      <c r="H24" s="54">
        <v>9300</v>
      </c>
      <c r="I24" s="35">
        <f t="shared" ref="I24:I33" si="4">H24-F24</f>
        <v>-700</v>
      </c>
      <c r="J24" s="55"/>
      <c r="K24" s="55"/>
    </row>
    <row r="25" spans="1:11" x14ac:dyDescent="0.25">
      <c r="A25" s="53"/>
      <c r="B25" s="44"/>
      <c r="C25" s="45"/>
      <c r="D25" s="42" t="s">
        <v>34</v>
      </c>
      <c r="E25" s="42" t="s">
        <v>35</v>
      </c>
      <c r="F25" s="35">
        <v>18000</v>
      </c>
      <c r="G25" s="35"/>
      <c r="H25" s="54">
        <v>20000</v>
      </c>
      <c r="I25" s="35">
        <f t="shared" si="4"/>
        <v>2000</v>
      </c>
      <c r="J25" s="55"/>
      <c r="K25" s="55"/>
    </row>
    <row r="26" spans="1:11" x14ac:dyDescent="0.25">
      <c r="A26" s="53"/>
      <c r="B26" s="44"/>
      <c r="C26" s="45"/>
      <c r="D26" s="42" t="s">
        <v>36</v>
      </c>
      <c r="E26" s="42"/>
      <c r="F26" s="35">
        <v>18000</v>
      </c>
      <c r="G26" s="35"/>
      <c r="H26" s="54">
        <v>16000</v>
      </c>
      <c r="I26" s="35">
        <f t="shared" si="4"/>
        <v>-2000</v>
      </c>
      <c r="J26" s="43"/>
      <c r="K26" s="43"/>
    </row>
    <row r="27" spans="1:11" x14ac:dyDescent="0.25">
      <c r="A27" s="53"/>
      <c r="B27" s="44"/>
      <c r="C27" s="45"/>
      <c r="D27" s="42" t="s">
        <v>37</v>
      </c>
      <c r="E27" s="42" t="s">
        <v>38</v>
      </c>
      <c r="F27" s="35">
        <v>15000</v>
      </c>
      <c r="G27" s="35"/>
      <c r="H27" s="54">
        <v>4700</v>
      </c>
      <c r="I27" s="35">
        <f t="shared" si="4"/>
        <v>-10300</v>
      </c>
      <c r="J27" s="55"/>
      <c r="K27" s="55"/>
    </row>
    <row r="28" spans="1:11" x14ac:dyDescent="0.25">
      <c r="A28" s="53"/>
      <c r="B28" s="44"/>
      <c r="C28" s="45"/>
      <c r="D28" s="42" t="s">
        <v>39</v>
      </c>
      <c r="E28" s="42" t="s">
        <v>38</v>
      </c>
      <c r="F28" s="35">
        <v>15000</v>
      </c>
      <c r="G28" s="35"/>
      <c r="H28" s="54">
        <f>4200</f>
        <v>4200</v>
      </c>
      <c r="I28" s="35">
        <f t="shared" si="4"/>
        <v>-10800</v>
      </c>
      <c r="J28" s="56"/>
      <c r="K28" s="28"/>
    </row>
    <row r="29" spans="1:11" x14ac:dyDescent="0.25">
      <c r="A29" s="53"/>
      <c r="B29" s="44"/>
      <c r="C29" s="45"/>
      <c r="D29" s="42" t="s">
        <v>40</v>
      </c>
      <c r="E29" s="42"/>
      <c r="F29" s="35">
        <v>20000</v>
      </c>
      <c r="G29" s="35"/>
      <c r="H29" s="54">
        <v>13040</v>
      </c>
      <c r="I29" s="35">
        <f t="shared" si="4"/>
        <v>-6960</v>
      </c>
      <c r="J29" s="55"/>
      <c r="K29" s="55"/>
    </row>
    <row r="30" spans="1:11" x14ac:dyDescent="0.25">
      <c r="A30" s="53"/>
      <c r="B30" s="44"/>
      <c r="C30" s="45"/>
      <c r="D30" s="30" t="s">
        <v>41</v>
      </c>
      <c r="E30" s="42"/>
      <c r="F30" s="52">
        <v>20000</v>
      </c>
      <c r="G30" s="34"/>
      <c r="H30" s="52">
        <v>6900</v>
      </c>
      <c r="I30" s="52">
        <f t="shared" si="4"/>
        <v>-13100</v>
      </c>
      <c r="J30" s="43"/>
      <c r="K30" s="43"/>
    </row>
    <row r="31" spans="1:11" x14ac:dyDescent="0.25">
      <c r="A31" s="53"/>
      <c r="B31" s="44"/>
      <c r="C31" s="45"/>
      <c r="D31" s="30" t="s">
        <v>42</v>
      </c>
      <c r="E31" s="42"/>
      <c r="F31" s="52">
        <v>19000</v>
      </c>
      <c r="G31" s="34"/>
      <c r="H31" s="52">
        <f>13470+10300</f>
        <v>23770</v>
      </c>
      <c r="I31" s="52">
        <f t="shared" si="4"/>
        <v>4770</v>
      </c>
      <c r="J31" s="55"/>
      <c r="K31" s="55"/>
    </row>
    <row r="32" spans="1:11" x14ac:dyDescent="0.25">
      <c r="A32" s="53"/>
      <c r="B32" s="44"/>
      <c r="C32" s="45"/>
      <c r="D32" s="30" t="s">
        <v>43</v>
      </c>
      <c r="E32" s="42"/>
      <c r="F32" s="52">
        <v>15000</v>
      </c>
      <c r="G32" s="34"/>
      <c r="H32" s="52">
        <v>10300</v>
      </c>
      <c r="I32" s="52">
        <f t="shared" si="4"/>
        <v>-4700</v>
      </c>
      <c r="J32" s="57"/>
      <c r="K32" s="55"/>
    </row>
    <row r="33" spans="1:11" x14ac:dyDescent="0.25">
      <c r="A33" s="53"/>
      <c r="B33" s="44"/>
      <c r="C33" s="45"/>
      <c r="D33" s="30" t="s">
        <v>44</v>
      </c>
      <c r="E33" s="42" t="s">
        <v>45</v>
      </c>
      <c r="F33" s="52">
        <v>20000</v>
      </c>
      <c r="G33" s="34"/>
      <c r="H33" s="52">
        <f>4196+16100</f>
        <v>20296</v>
      </c>
      <c r="I33" s="52">
        <f t="shared" si="4"/>
        <v>296</v>
      </c>
      <c r="J33" s="55"/>
      <c r="K33" s="55"/>
    </row>
    <row r="34" spans="1:11" ht="168.75" x14ac:dyDescent="0.25">
      <c r="A34" s="53"/>
      <c r="B34" s="44"/>
      <c r="C34" s="45"/>
      <c r="D34" s="58" t="s">
        <v>46</v>
      </c>
      <c r="E34" s="42" t="s">
        <v>47</v>
      </c>
      <c r="F34" s="59">
        <v>35000</v>
      </c>
      <c r="G34" s="60"/>
      <c r="H34" s="59">
        <f>9790+15120+5000</f>
        <v>29910</v>
      </c>
      <c r="I34" s="59">
        <f>30240+13988</f>
        <v>44228</v>
      </c>
      <c r="J34" s="55"/>
      <c r="K34" s="55"/>
    </row>
    <row r="35" spans="1:11" x14ac:dyDescent="0.25">
      <c r="A35" s="53"/>
      <c r="B35" s="44"/>
      <c r="C35" s="45"/>
      <c r="D35" s="30" t="s">
        <v>48</v>
      </c>
      <c r="E35" s="61"/>
      <c r="F35" s="59">
        <f>SUM(F36:F40)</f>
        <v>27000</v>
      </c>
      <c r="G35" s="59">
        <f t="shared" ref="G35:I35" si="5">SUM(G36:G40)</f>
        <v>0</v>
      </c>
      <c r="H35" s="59">
        <f t="shared" si="5"/>
        <v>16969</v>
      </c>
      <c r="I35" s="59">
        <f t="shared" si="5"/>
        <v>-10031</v>
      </c>
      <c r="J35" s="55"/>
      <c r="K35" s="55"/>
    </row>
    <row r="36" spans="1:11" x14ac:dyDescent="0.25">
      <c r="A36" s="53"/>
      <c r="B36" s="44"/>
      <c r="C36" s="45"/>
      <c r="D36" s="42" t="s">
        <v>49</v>
      </c>
      <c r="E36" s="62" t="s">
        <v>50</v>
      </c>
      <c r="F36" s="60">
        <v>10000</v>
      </c>
      <c r="G36" s="60"/>
      <c r="H36" s="54">
        <v>6969</v>
      </c>
      <c r="I36" s="35">
        <f t="shared" ref="I36:I41" si="6">H36-F36</f>
        <v>-3031</v>
      </c>
      <c r="J36" s="55"/>
      <c r="K36" s="55"/>
    </row>
    <row r="37" spans="1:11" x14ac:dyDescent="0.25">
      <c r="A37" s="53"/>
      <c r="B37" s="44"/>
      <c r="C37" s="45"/>
      <c r="D37" s="42" t="s">
        <v>51</v>
      </c>
      <c r="E37" s="62" t="s">
        <v>52</v>
      </c>
      <c r="F37" s="60">
        <v>4000</v>
      </c>
      <c r="G37" s="60"/>
      <c r="H37" s="54">
        <v>2000</v>
      </c>
      <c r="I37" s="35">
        <f t="shared" si="6"/>
        <v>-2000</v>
      </c>
      <c r="J37" s="55"/>
      <c r="K37" s="55"/>
    </row>
    <row r="38" spans="1:11" x14ac:dyDescent="0.25">
      <c r="A38" s="53"/>
      <c r="B38" s="44"/>
      <c r="C38" s="45"/>
      <c r="D38" s="42" t="s">
        <v>53</v>
      </c>
      <c r="E38" s="62" t="s">
        <v>54</v>
      </c>
      <c r="F38" s="60">
        <v>3000</v>
      </c>
      <c r="G38" s="60"/>
      <c r="H38" s="54">
        <v>1500</v>
      </c>
      <c r="I38" s="35">
        <f t="shared" si="6"/>
        <v>-1500</v>
      </c>
      <c r="J38" s="55"/>
      <c r="K38" s="55"/>
    </row>
    <row r="39" spans="1:11" x14ac:dyDescent="0.25">
      <c r="A39" s="53"/>
      <c r="B39" s="44"/>
      <c r="C39" s="45"/>
      <c r="D39" s="42" t="s">
        <v>55</v>
      </c>
      <c r="E39" s="62" t="s">
        <v>56</v>
      </c>
      <c r="F39" s="60">
        <v>5000</v>
      </c>
      <c r="G39" s="60"/>
      <c r="H39" s="54">
        <v>4500</v>
      </c>
      <c r="I39" s="35">
        <f t="shared" si="6"/>
        <v>-500</v>
      </c>
      <c r="J39" s="43"/>
      <c r="K39" s="43"/>
    </row>
    <row r="40" spans="1:11" x14ac:dyDescent="0.25">
      <c r="A40" s="53"/>
      <c r="B40" s="44"/>
      <c r="C40" s="45"/>
      <c r="D40" s="42" t="s">
        <v>57</v>
      </c>
      <c r="E40" s="62" t="s">
        <v>58</v>
      </c>
      <c r="F40" s="60">
        <v>5000</v>
      </c>
      <c r="G40" s="60"/>
      <c r="H40" s="54">
        <v>2000</v>
      </c>
      <c r="I40" s="35">
        <f t="shared" si="6"/>
        <v>-3000</v>
      </c>
      <c r="J40" s="55"/>
      <c r="K40" s="55"/>
    </row>
    <row r="41" spans="1:11" x14ac:dyDescent="0.25">
      <c r="A41" s="53"/>
      <c r="B41" s="44"/>
      <c r="C41" s="45"/>
      <c r="D41" s="30" t="s">
        <v>59</v>
      </c>
      <c r="E41" s="42" t="s">
        <v>60</v>
      </c>
      <c r="F41" s="59">
        <v>55000</v>
      </c>
      <c r="G41" s="63"/>
      <c r="H41" s="59">
        <f>42000+8900</f>
        <v>50900</v>
      </c>
      <c r="I41" s="52">
        <f t="shared" si="6"/>
        <v>-4100</v>
      </c>
      <c r="J41" s="55"/>
      <c r="K41" s="55"/>
    </row>
    <row r="42" spans="1:11" x14ac:dyDescent="0.25">
      <c r="A42" s="53"/>
      <c r="B42" s="44"/>
      <c r="C42" s="45"/>
      <c r="D42" s="42"/>
      <c r="E42" s="42"/>
      <c r="F42" s="60"/>
      <c r="G42" s="60"/>
      <c r="H42" s="54"/>
      <c r="I42" s="64"/>
      <c r="J42" s="55"/>
      <c r="K42" s="55"/>
    </row>
    <row r="43" spans="1:11" x14ac:dyDescent="0.25">
      <c r="A43" s="53"/>
      <c r="B43" s="44"/>
      <c r="C43" s="45">
        <v>3223</v>
      </c>
      <c r="D43" s="30" t="s">
        <v>61</v>
      </c>
      <c r="E43" s="42"/>
      <c r="F43" s="63">
        <f>SUM(F44:F45)</f>
        <v>112500</v>
      </c>
      <c r="G43" s="63">
        <f t="shared" ref="G43:I43" si="7">SUM(G44:G45)</f>
        <v>0</v>
      </c>
      <c r="H43" s="63">
        <f t="shared" si="7"/>
        <v>86345.156190476191</v>
      </c>
      <c r="I43" s="63">
        <f t="shared" si="7"/>
        <v>-26154.843809523809</v>
      </c>
      <c r="J43" s="55"/>
      <c r="K43" s="55"/>
    </row>
    <row r="44" spans="1:11" x14ac:dyDescent="0.25">
      <c r="A44" s="53"/>
      <c r="B44" s="44"/>
      <c r="C44" s="45"/>
      <c r="D44" s="42" t="s">
        <v>62</v>
      </c>
      <c r="E44" s="42" t="s">
        <v>63</v>
      </c>
      <c r="F44" s="60">
        <v>37500</v>
      </c>
      <c r="G44" s="60"/>
      <c r="H44" s="65">
        <f>28039.28/1.05</f>
        <v>26704.076190476189</v>
      </c>
      <c r="I44" s="35">
        <f t="shared" ref="I44:I47" si="8">H44-F44</f>
        <v>-10795.923809523811</v>
      </c>
      <c r="J44" s="43"/>
      <c r="K44" s="43"/>
    </row>
    <row r="45" spans="1:11" x14ac:dyDescent="0.25">
      <c r="A45" s="53"/>
      <c r="B45" s="44"/>
      <c r="C45" s="45"/>
      <c r="D45" s="42" t="s">
        <v>64</v>
      </c>
      <c r="E45" s="42" t="s">
        <v>65</v>
      </c>
      <c r="F45" s="60">
        <v>75000</v>
      </c>
      <c r="G45" s="60"/>
      <c r="H45" s="65">
        <f>74551.35/1.25</f>
        <v>59641.08</v>
      </c>
      <c r="I45" s="35">
        <f t="shared" si="8"/>
        <v>-15358.919999999998</v>
      </c>
      <c r="J45" s="55"/>
      <c r="K45" s="55"/>
    </row>
    <row r="46" spans="1:11" x14ac:dyDescent="0.25">
      <c r="A46" s="66"/>
      <c r="B46" s="67"/>
      <c r="C46" s="45"/>
      <c r="D46" s="30" t="s">
        <v>66</v>
      </c>
      <c r="E46" s="42" t="s">
        <v>67</v>
      </c>
      <c r="F46" s="63">
        <f>SUM(F47:F48)</f>
        <v>19000</v>
      </c>
      <c r="G46" s="63">
        <f t="shared" ref="G46:I46" si="9">SUM(G47:G48)</f>
        <v>0</v>
      </c>
      <c r="H46" s="63">
        <f t="shared" si="9"/>
        <v>14474.552</v>
      </c>
      <c r="I46" s="63">
        <f t="shared" si="9"/>
        <v>-4525.4479999999994</v>
      </c>
      <c r="J46" s="43"/>
      <c r="K46" s="43"/>
    </row>
    <row r="47" spans="1:11" x14ac:dyDescent="0.25">
      <c r="A47" s="68" t="s">
        <v>18</v>
      </c>
      <c r="B47" s="33">
        <v>3224</v>
      </c>
      <c r="C47" s="37"/>
      <c r="D47" s="42" t="s">
        <v>68</v>
      </c>
      <c r="E47" s="30"/>
      <c r="F47" s="35">
        <v>8000</v>
      </c>
      <c r="G47" s="35"/>
      <c r="H47" s="54">
        <f>8280.75/1.25</f>
        <v>6624.6</v>
      </c>
      <c r="I47" s="35">
        <f t="shared" si="8"/>
        <v>-1375.3999999999996</v>
      </c>
      <c r="J47" s="69"/>
      <c r="K47" s="69"/>
    </row>
    <row r="48" spans="1:11" x14ac:dyDescent="0.25">
      <c r="A48" s="70"/>
      <c r="B48" s="33"/>
      <c r="C48" s="71"/>
      <c r="D48" s="42" t="s">
        <v>69</v>
      </c>
      <c r="F48" s="35">
        <v>11000</v>
      </c>
      <c r="G48" s="35"/>
      <c r="H48" s="54">
        <f>(9719.25+93.19)/1.25</f>
        <v>7849.9520000000002</v>
      </c>
      <c r="I48" s="35">
        <f>H48-F48</f>
        <v>-3150.0479999999998</v>
      </c>
      <c r="J48" s="72"/>
      <c r="K48" s="72"/>
    </row>
    <row r="49" spans="1:11" x14ac:dyDescent="0.25">
      <c r="A49" s="70"/>
      <c r="B49" s="33"/>
      <c r="C49" s="71"/>
      <c r="D49" s="42"/>
      <c r="E49" s="42"/>
      <c r="F49" s="35"/>
      <c r="G49" s="35"/>
      <c r="H49" s="54"/>
      <c r="I49" s="35"/>
      <c r="J49" s="72"/>
      <c r="K49" s="72"/>
    </row>
    <row r="50" spans="1:11" x14ac:dyDescent="0.25">
      <c r="A50" s="68" t="s">
        <v>19</v>
      </c>
      <c r="B50" s="33">
        <v>3225</v>
      </c>
      <c r="C50" s="37"/>
      <c r="D50" s="30" t="s">
        <v>70</v>
      </c>
      <c r="E50" s="30"/>
      <c r="F50" s="34">
        <f>SUM(F53:F57)</f>
        <v>24800</v>
      </c>
      <c r="G50" s="34">
        <f>21000/1.25+10000/1.25</f>
        <v>24800</v>
      </c>
      <c r="H50" s="73">
        <f>5166.74/1.25</f>
        <v>4133.3919999999998</v>
      </c>
      <c r="I50" s="34">
        <f t="shared" ref="I50" si="10">H50-F50</f>
        <v>-20666.608</v>
      </c>
      <c r="J50" s="69"/>
      <c r="K50" s="69"/>
    </row>
    <row r="51" spans="1:11" x14ac:dyDescent="0.25">
      <c r="A51" s="70" t="s">
        <v>71</v>
      </c>
      <c r="B51" s="33"/>
      <c r="C51" s="71"/>
      <c r="D51" s="42"/>
      <c r="E51" s="42"/>
      <c r="F51" s="35"/>
      <c r="G51" s="35"/>
      <c r="H51" s="54"/>
      <c r="I51" s="64"/>
      <c r="J51" s="69"/>
      <c r="K51" s="69"/>
    </row>
    <row r="52" spans="1:11" x14ac:dyDescent="0.25">
      <c r="A52" s="70" t="s">
        <v>72</v>
      </c>
      <c r="B52" s="33">
        <v>3227</v>
      </c>
      <c r="C52" s="71"/>
      <c r="D52" s="42" t="s">
        <v>73</v>
      </c>
      <c r="E52" s="42"/>
      <c r="F52" s="35"/>
      <c r="G52" s="35"/>
      <c r="H52" s="54"/>
      <c r="I52" s="64"/>
      <c r="J52" s="69"/>
      <c r="K52" s="69"/>
    </row>
    <row r="53" spans="1:11" x14ac:dyDescent="0.25">
      <c r="A53" s="70"/>
      <c r="B53" s="33"/>
      <c r="C53" s="71"/>
      <c r="D53" s="42" t="s">
        <v>74</v>
      </c>
      <c r="E53" s="42"/>
      <c r="F53" s="35">
        <v>2500</v>
      </c>
      <c r="G53" s="35"/>
      <c r="H53" s="54"/>
      <c r="I53" s="64"/>
      <c r="J53" s="72"/>
      <c r="K53" s="72"/>
    </row>
    <row r="54" spans="1:11" x14ac:dyDescent="0.25">
      <c r="A54" s="70"/>
      <c r="B54" s="33"/>
      <c r="C54" s="71"/>
      <c r="D54" s="42" t="s">
        <v>75</v>
      </c>
      <c r="E54" s="42"/>
      <c r="F54" s="35">
        <v>2500</v>
      </c>
      <c r="G54" s="35"/>
      <c r="H54" s="54"/>
      <c r="I54" s="64"/>
      <c r="J54" s="72"/>
      <c r="K54" s="72"/>
    </row>
    <row r="55" spans="1:11" x14ac:dyDescent="0.25">
      <c r="A55" s="70"/>
      <c r="B55" s="33"/>
      <c r="C55" s="71"/>
      <c r="D55" s="42" t="s">
        <v>76</v>
      </c>
      <c r="E55" s="42"/>
      <c r="F55" s="35">
        <v>7500</v>
      </c>
      <c r="G55" s="35"/>
      <c r="H55" s="54"/>
      <c r="I55" s="64"/>
      <c r="J55" s="72"/>
      <c r="K55" s="72"/>
    </row>
    <row r="56" spans="1:11" x14ac:dyDescent="0.25">
      <c r="A56" s="70"/>
      <c r="B56" s="33"/>
      <c r="C56" s="71"/>
      <c r="D56" s="42" t="s">
        <v>77</v>
      </c>
      <c r="E56" s="42"/>
      <c r="F56" s="35">
        <v>7300</v>
      </c>
      <c r="G56" s="35"/>
      <c r="H56" s="54"/>
      <c r="I56" s="64"/>
      <c r="J56" s="72"/>
      <c r="K56" s="72"/>
    </row>
    <row r="57" spans="1:11" x14ac:dyDescent="0.25">
      <c r="A57" s="70"/>
      <c r="B57" s="33"/>
      <c r="C57" s="71"/>
      <c r="D57" s="42" t="s">
        <v>78</v>
      </c>
      <c r="E57" s="42"/>
      <c r="F57" s="35">
        <v>5000</v>
      </c>
      <c r="G57" s="35"/>
      <c r="H57" s="54"/>
      <c r="I57" s="64"/>
      <c r="J57" s="72"/>
      <c r="K57" s="72"/>
    </row>
    <row r="58" spans="1:11" x14ac:dyDescent="0.25">
      <c r="A58" s="68" t="s">
        <v>20</v>
      </c>
      <c r="B58" s="33">
        <v>3227</v>
      </c>
      <c r="C58" s="37"/>
      <c r="D58" s="30" t="s">
        <v>73</v>
      </c>
      <c r="E58" s="30"/>
      <c r="F58" s="34">
        <v>2156</v>
      </c>
      <c r="G58" s="34">
        <f>2695/1.25</f>
        <v>2156</v>
      </c>
      <c r="H58" s="74">
        <f>3916.55/1.25</f>
        <v>3133.2400000000002</v>
      </c>
      <c r="I58" s="34">
        <f t="shared" ref="I58:I62" si="11">H58-F58</f>
        <v>977.24000000000024</v>
      </c>
      <c r="J58" s="69"/>
      <c r="K58" s="69"/>
    </row>
    <row r="59" spans="1:11" x14ac:dyDescent="0.25">
      <c r="A59" s="36" t="s">
        <v>21</v>
      </c>
      <c r="B59" s="33">
        <v>3231</v>
      </c>
      <c r="C59" s="37"/>
      <c r="D59" s="30" t="s">
        <v>79</v>
      </c>
      <c r="E59" s="30"/>
      <c r="F59" s="34">
        <f>SUM(F60:F62)</f>
        <v>41066.400000000001</v>
      </c>
      <c r="G59" s="34">
        <f t="shared" ref="G59:H59" si="12">SUM(G60:G62)</f>
        <v>0</v>
      </c>
      <c r="H59" s="34">
        <f t="shared" si="12"/>
        <v>24174.863999999998</v>
      </c>
      <c r="I59" s="34">
        <f t="shared" si="11"/>
        <v>-16891.536000000004</v>
      </c>
      <c r="J59" s="69"/>
      <c r="K59" s="69"/>
    </row>
    <row r="60" spans="1:11" x14ac:dyDescent="0.25">
      <c r="A60" s="75"/>
      <c r="B60" s="40"/>
      <c r="C60" s="41"/>
      <c r="D60" s="42" t="s">
        <v>80</v>
      </c>
      <c r="E60" s="42"/>
      <c r="F60" s="35">
        <v>29566.400000000001</v>
      </c>
      <c r="G60" s="35"/>
      <c r="H60" s="54">
        <f>16580/1.25</f>
        <v>13264</v>
      </c>
      <c r="I60" s="35">
        <f t="shared" si="11"/>
        <v>-16302.400000000001</v>
      </c>
      <c r="J60" s="72"/>
      <c r="K60" s="72"/>
    </row>
    <row r="61" spans="1:11" x14ac:dyDescent="0.25">
      <c r="A61" s="75"/>
      <c r="B61" s="44"/>
      <c r="C61" s="45"/>
      <c r="D61" s="42" t="s">
        <v>81</v>
      </c>
      <c r="E61" s="42"/>
      <c r="F61" s="35">
        <v>3500</v>
      </c>
      <c r="G61" s="35"/>
      <c r="H61" s="54">
        <f>4119.19/1.25</f>
        <v>3295.3519999999999</v>
      </c>
      <c r="I61" s="35">
        <f t="shared" si="11"/>
        <v>-204.64800000000014</v>
      </c>
      <c r="J61" s="72"/>
      <c r="K61" s="72"/>
    </row>
    <row r="62" spans="1:11" x14ac:dyDescent="0.25">
      <c r="A62" s="75"/>
      <c r="B62" s="44"/>
      <c r="C62" s="45"/>
      <c r="D62" s="42" t="s">
        <v>82</v>
      </c>
      <c r="E62" s="42"/>
      <c r="F62" s="35">
        <v>8000</v>
      </c>
      <c r="G62" s="35"/>
      <c r="H62" s="54">
        <f>9519.39/1.25</f>
        <v>7615.5119999999997</v>
      </c>
      <c r="I62" s="35">
        <f t="shared" si="11"/>
        <v>-384.48800000000028</v>
      </c>
      <c r="J62" s="72"/>
      <c r="K62" s="72"/>
    </row>
    <row r="63" spans="1:11" x14ac:dyDescent="0.25">
      <c r="A63" s="76"/>
      <c r="B63" s="47"/>
      <c r="C63" s="48"/>
      <c r="D63" s="42"/>
      <c r="E63" s="42"/>
      <c r="F63" s="35"/>
      <c r="G63" s="35"/>
      <c r="H63" s="54"/>
      <c r="I63" s="35"/>
      <c r="J63" s="72"/>
      <c r="K63" s="72"/>
    </row>
    <row r="64" spans="1:11" x14ac:dyDescent="0.25">
      <c r="A64" s="77"/>
      <c r="B64" s="49">
        <v>3233</v>
      </c>
      <c r="C64" s="48"/>
      <c r="D64" s="30" t="s">
        <v>83</v>
      </c>
      <c r="E64" s="42"/>
      <c r="F64" s="34">
        <v>1200</v>
      </c>
      <c r="G64" s="34">
        <f>1500/1.25</f>
        <v>1200</v>
      </c>
      <c r="H64" s="54"/>
      <c r="I64" s="64"/>
      <c r="J64" s="72"/>
      <c r="K64" s="72"/>
    </row>
    <row r="65" spans="1:11" x14ac:dyDescent="0.25">
      <c r="A65" s="36" t="s">
        <v>84</v>
      </c>
      <c r="B65" s="33">
        <v>3232</v>
      </c>
      <c r="C65" s="37"/>
      <c r="D65" s="30" t="s">
        <v>85</v>
      </c>
      <c r="E65" s="30"/>
      <c r="F65" s="34">
        <f>SUM(F66:F70)</f>
        <v>448000</v>
      </c>
      <c r="G65" s="34">
        <f t="shared" ref="G65:I65" si="13">SUM(G66:G70)</f>
        <v>0</v>
      </c>
      <c r="H65" s="34">
        <f t="shared" si="13"/>
        <v>657285.348</v>
      </c>
      <c r="I65" s="34">
        <f t="shared" si="13"/>
        <v>209285.34800000003</v>
      </c>
      <c r="J65" s="69"/>
      <c r="K65" s="69"/>
    </row>
    <row r="66" spans="1:11" x14ac:dyDescent="0.25">
      <c r="A66" s="39"/>
      <c r="B66" s="78"/>
      <c r="C66" s="79"/>
      <c r="D66" s="80" t="s">
        <v>86</v>
      </c>
      <c r="E66" s="81"/>
      <c r="F66" s="82">
        <f>100000/1.25</f>
        <v>80000</v>
      </c>
      <c r="G66" s="83"/>
      <c r="H66" s="35">
        <f>(21250+5000+46875.21)/1.25</f>
        <v>58500.167999999991</v>
      </c>
      <c r="I66" s="35">
        <f t="shared" ref="I66:I99" si="14">H66-F66</f>
        <v>-21499.832000000009</v>
      </c>
      <c r="J66" s="72"/>
      <c r="K66" s="72"/>
    </row>
    <row r="67" spans="1:11" x14ac:dyDescent="0.25">
      <c r="A67" s="39"/>
      <c r="B67" s="78"/>
      <c r="C67" s="79"/>
      <c r="D67" s="80" t="s">
        <v>87</v>
      </c>
      <c r="E67" s="81"/>
      <c r="F67" s="82">
        <f>200000/1.25</f>
        <v>160000</v>
      </c>
      <c r="G67" s="83"/>
      <c r="H67" s="35">
        <f>(73662+246581+22500)/1.25</f>
        <v>274194.40000000002</v>
      </c>
      <c r="I67" s="35">
        <f t="shared" si="14"/>
        <v>114194.40000000002</v>
      </c>
      <c r="J67" s="72"/>
      <c r="K67" s="72"/>
    </row>
    <row r="68" spans="1:11" x14ac:dyDescent="0.25">
      <c r="A68" s="39"/>
      <c r="B68" s="78"/>
      <c r="C68" s="79"/>
      <c r="D68" s="80" t="s">
        <v>88</v>
      </c>
      <c r="E68" s="81"/>
      <c r="F68" s="82">
        <f>200000/1.25</f>
        <v>160000</v>
      </c>
      <c r="G68" s="83"/>
      <c r="H68" s="54">
        <v>0</v>
      </c>
      <c r="I68" s="35">
        <f t="shared" si="14"/>
        <v>-160000</v>
      </c>
      <c r="J68" s="72"/>
      <c r="K68" s="72"/>
    </row>
    <row r="69" spans="1:11" x14ac:dyDescent="0.25">
      <c r="A69" s="39"/>
      <c r="B69" s="78"/>
      <c r="C69" s="79"/>
      <c r="D69" s="80" t="s">
        <v>89</v>
      </c>
      <c r="E69" s="81"/>
      <c r="F69" s="82">
        <v>0</v>
      </c>
      <c r="G69" s="83"/>
      <c r="H69" s="35">
        <f>377375/1.25</f>
        <v>301900</v>
      </c>
      <c r="I69" s="35">
        <f t="shared" si="14"/>
        <v>301900</v>
      </c>
      <c r="J69" s="72"/>
      <c r="K69" s="72"/>
    </row>
    <row r="70" spans="1:11" x14ac:dyDescent="0.25">
      <c r="A70" s="39"/>
      <c r="B70" s="78"/>
      <c r="C70" s="79"/>
      <c r="D70" s="84" t="s">
        <v>90</v>
      </c>
      <c r="E70" s="30"/>
      <c r="F70" s="52">
        <f>SUM(F71:F79)</f>
        <v>48000</v>
      </c>
      <c r="G70" s="83"/>
      <c r="H70" s="52">
        <f>SUM(H71:H79)</f>
        <v>22690.78</v>
      </c>
      <c r="I70" s="52">
        <f>SUM(I71:I79)</f>
        <v>-25309.22</v>
      </c>
      <c r="J70" s="72"/>
      <c r="K70" s="72"/>
    </row>
    <row r="71" spans="1:11" x14ac:dyDescent="0.25">
      <c r="A71" s="75"/>
      <c r="B71" s="40"/>
      <c r="C71" s="41"/>
      <c r="D71" s="42" t="s">
        <v>91</v>
      </c>
      <c r="E71" s="42"/>
      <c r="F71" s="35">
        <v>5000</v>
      </c>
      <c r="G71" s="35"/>
      <c r="H71" s="35">
        <f>10728.75/1.25</f>
        <v>8583</v>
      </c>
      <c r="I71" s="35">
        <f t="shared" si="14"/>
        <v>3583</v>
      </c>
      <c r="J71" s="72"/>
      <c r="K71" s="72"/>
    </row>
    <row r="72" spans="1:11" x14ac:dyDescent="0.25">
      <c r="A72" s="75"/>
      <c r="B72" s="44"/>
      <c r="C72" s="45"/>
      <c r="D72" s="42" t="s">
        <v>92</v>
      </c>
      <c r="E72" s="42"/>
      <c r="F72" s="35">
        <v>6000</v>
      </c>
      <c r="G72" s="35"/>
      <c r="H72" s="54"/>
      <c r="I72" s="35">
        <f t="shared" si="14"/>
        <v>-6000</v>
      </c>
      <c r="J72" s="72"/>
      <c r="K72" s="72"/>
    </row>
    <row r="73" spans="1:11" x14ac:dyDescent="0.25">
      <c r="A73" s="75"/>
      <c r="B73" s="44"/>
      <c r="C73" s="45"/>
      <c r="D73" s="42" t="s">
        <v>93</v>
      </c>
      <c r="E73" s="42"/>
      <c r="F73" s="35">
        <v>7000</v>
      </c>
      <c r="G73" s="35"/>
      <c r="H73" s="54"/>
      <c r="I73" s="35">
        <f t="shared" si="14"/>
        <v>-7000</v>
      </c>
      <c r="J73" s="72"/>
      <c r="K73" s="72"/>
    </row>
    <row r="74" spans="1:11" x14ac:dyDescent="0.25">
      <c r="A74" s="75"/>
      <c r="B74" s="44"/>
      <c r="C74" s="45"/>
      <c r="D74" s="42" t="s">
        <v>94</v>
      </c>
      <c r="E74" s="42"/>
      <c r="F74" s="35">
        <v>6500</v>
      </c>
      <c r="G74" s="35"/>
      <c r="H74" s="54"/>
      <c r="I74" s="35">
        <f t="shared" si="14"/>
        <v>-6500</v>
      </c>
      <c r="J74" s="72"/>
      <c r="K74" s="72"/>
    </row>
    <row r="75" spans="1:11" x14ac:dyDescent="0.25">
      <c r="A75" s="75"/>
      <c r="B75" s="44"/>
      <c r="C75" s="45"/>
      <c r="D75" s="42" t="s">
        <v>95</v>
      </c>
      <c r="E75" s="42"/>
      <c r="F75" s="35">
        <v>2500</v>
      </c>
      <c r="G75" s="35"/>
      <c r="H75" s="54"/>
      <c r="I75" s="35">
        <f t="shared" si="14"/>
        <v>-2500</v>
      </c>
      <c r="J75" s="72"/>
      <c r="K75" s="72"/>
    </row>
    <row r="76" spans="1:11" x14ac:dyDescent="0.25">
      <c r="A76" s="75"/>
      <c r="B76" s="44"/>
      <c r="C76" s="45"/>
      <c r="D76" s="42" t="s">
        <v>96</v>
      </c>
      <c r="E76" s="42"/>
      <c r="F76" s="35">
        <v>5000</v>
      </c>
      <c r="G76" s="35"/>
      <c r="H76" s="54"/>
      <c r="I76" s="35">
        <f t="shared" si="14"/>
        <v>-5000</v>
      </c>
      <c r="J76" s="72"/>
      <c r="K76" s="72"/>
    </row>
    <row r="77" spans="1:11" x14ac:dyDescent="0.25">
      <c r="A77" s="75"/>
      <c r="B77" s="44"/>
      <c r="C77" s="45"/>
      <c r="D77" s="42" t="s">
        <v>97</v>
      </c>
      <c r="E77" s="42"/>
      <c r="F77" s="35">
        <v>8000</v>
      </c>
      <c r="G77" s="35"/>
      <c r="H77" s="54"/>
      <c r="I77" s="35">
        <f t="shared" si="14"/>
        <v>-8000</v>
      </c>
      <c r="J77" s="72"/>
      <c r="K77" s="72"/>
    </row>
    <row r="78" spans="1:11" x14ac:dyDescent="0.25">
      <c r="A78" s="75"/>
      <c r="B78" s="44"/>
      <c r="C78" s="45"/>
      <c r="D78" s="42" t="s">
        <v>98</v>
      </c>
      <c r="E78" s="42"/>
      <c r="F78" s="35">
        <v>5000</v>
      </c>
      <c r="G78" s="35"/>
      <c r="H78" s="35">
        <f>(2275+325)/1.25</f>
        <v>2080</v>
      </c>
      <c r="I78" s="35">
        <f t="shared" si="14"/>
        <v>-2920</v>
      </c>
      <c r="J78" s="72"/>
      <c r="K78" s="72"/>
    </row>
    <row r="79" spans="1:11" x14ac:dyDescent="0.25">
      <c r="A79" s="76"/>
      <c r="B79" s="47"/>
      <c r="C79" s="48"/>
      <c r="D79" s="42" t="s">
        <v>99</v>
      </c>
      <c r="E79" s="42"/>
      <c r="F79" s="35">
        <v>3000</v>
      </c>
      <c r="G79" s="35"/>
      <c r="H79" s="35">
        <f>22690.78-8583-2080</f>
        <v>12027.779999999999</v>
      </c>
      <c r="I79" s="35">
        <f t="shared" si="14"/>
        <v>9027.7799999999988</v>
      </c>
      <c r="J79" s="72"/>
      <c r="K79" s="72"/>
    </row>
    <row r="80" spans="1:11" x14ac:dyDescent="0.25">
      <c r="A80" s="36" t="s">
        <v>100</v>
      </c>
      <c r="B80" s="33">
        <v>3234</v>
      </c>
      <c r="C80" s="71"/>
      <c r="D80" s="30" t="s">
        <v>101</v>
      </c>
      <c r="E80" s="30"/>
      <c r="F80" s="34">
        <f>SUM(F81:F85)</f>
        <v>27200</v>
      </c>
      <c r="G80" s="34">
        <f t="shared" ref="G80:I80" si="15">SUM(G81:G85)</f>
        <v>0</v>
      </c>
      <c r="H80" s="34">
        <f t="shared" si="15"/>
        <v>21839.256000000001</v>
      </c>
      <c r="I80" s="34">
        <f t="shared" si="15"/>
        <v>-5360.7439999999988</v>
      </c>
      <c r="J80" s="69"/>
      <c r="K80" s="69"/>
    </row>
    <row r="81" spans="1:11" x14ac:dyDescent="0.25">
      <c r="A81" s="75"/>
      <c r="B81" s="40"/>
      <c r="C81" s="41"/>
      <c r="D81" s="42" t="s">
        <v>102</v>
      </c>
      <c r="E81" s="42"/>
      <c r="F81" s="35">
        <v>15000</v>
      </c>
      <c r="G81" s="35"/>
      <c r="H81" s="35">
        <f>12237.27/1.25</f>
        <v>9789.8160000000007</v>
      </c>
      <c r="I81" s="35">
        <f t="shared" si="14"/>
        <v>-5210.1839999999993</v>
      </c>
      <c r="J81" s="69"/>
      <c r="K81" s="69"/>
    </row>
    <row r="82" spans="1:11" x14ac:dyDescent="0.25">
      <c r="A82" s="75"/>
      <c r="B82" s="44"/>
      <c r="C82" s="45"/>
      <c r="D82" s="42" t="s">
        <v>103</v>
      </c>
      <c r="E82" s="42"/>
      <c r="F82" s="35">
        <v>4500</v>
      </c>
      <c r="G82" s="35"/>
      <c r="H82" s="35">
        <f>8230.87/1.25</f>
        <v>6584.6960000000008</v>
      </c>
      <c r="I82" s="35">
        <f t="shared" si="14"/>
        <v>2084.6960000000008</v>
      </c>
      <c r="J82" s="72"/>
      <c r="K82" s="72"/>
    </row>
    <row r="83" spans="1:11" x14ac:dyDescent="0.25">
      <c r="A83" s="75"/>
      <c r="B83" s="44"/>
      <c r="C83" s="45"/>
      <c r="D83" s="42" t="s">
        <v>104</v>
      </c>
      <c r="E83" s="42"/>
      <c r="F83" s="35">
        <v>600</v>
      </c>
      <c r="G83" s="35"/>
      <c r="H83" s="35">
        <f>673.13/1.25</f>
        <v>538.50400000000002</v>
      </c>
      <c r="I83" s="35">
        <f t="shared" si="14"/>
        <v>-61.495999999999981</v>
      </c>
      <c r="J83" s="72"/>
      <c r="K83" s="72"/>
    </row>
    <row r="84" spans="1:11" x14ac:dyDescent="0.25">
      <c r="A84" s="75"/>
      <c r="B84" s="44"/>
      <c r="C84" s="45"/>
      <c r="D84" s="42" t="s">
        <v>105</v>
      </c>
      <c r="E84" s="42"/>
      <c r="F84" s="35">
        <v>3500</v>
      </c>
      <c r="G84" s="35"/>
      <c r="H84" s="35">
        <v>0</v>
      </c>
      <c r="I84" s="35">
        <f t="shared" si="14"/>
        <v>-3500</v>
      </c>
      <c r="J84" s="72"/>
      <c r="K84" s="72"/>
    </row>
    <row r="85" spans="1:11" x14ac:dyDescent="0.25">
      <c r="A85" s="76"/>
      <c r="B85" s="47"/>
      <c r="C85" s="48"/>
      <c r="D85" s="42" t="s">
        <v>106</v>
      </c>
      <c r="E85" s="42"/>
      <c r="F85" s="35">
        <v>3600</v>
      </c>
      <c r="G85" s="35"/>
      <c r="H85" s="35">
        <f>6157.8/1.25</f>
        <v>4926.24</v>
      </c>
      <c r="I85" s="35">
        <f t="shared" si="14"/>
        <v>1326.2399999999998</v>
      </c>
      <c r="J85" s="72"/>
      <c r="K85" s="72"/>
    </row>
    <row r="86" spans="1:11" x14ac:dyDescent="0.25">
      <c r="A86" s="68" t="s">
        <v>107</v>
      </c>
      <c r="B86" s="33">
        <v>3235</v>
      </c>
      <c r="C86" s="37"/>
      <c r="D86" s="30" t="s">
        <v>108</v>
      </c>
      <c r="E86" s="30"/>
      <c r="F86" s="34">
        <v>640</v>
      </c>
      <c r="G86" s="34">
        <f>800/1.25</f>
        <v>640</v>
      </c>
      <c r="H86" s="34">
        <f>1596.79/1.25</f>
        <v>1277.432</v>
      </c>
      <c r="I86" s="34">
        <f t="shared" si="14"/>
        <v>637.43200000000002</v>
      </c>
      <c r="J86" s="72"/>
      <c r="K86" s="72"/>
    </row>
    <row r="87" spans="1:11" x14ac:dyDescent="0.25">
      <c r="A87" s="36" t="s">
        <v>109</v>
      </c>
      <c r="B87" s="33">
        <v>3236</v>
      </c>
      <c r="C87" s="37"/>
      <c r="D87" s="30" t="s">
        <v>110</v>
      </c>
      <c r="E87" s="30"/>
      <c r="F87" s="34">
        <f>SUM(F88:F89)</f>
        <v>12000</v>
      </c>
      <c r="G87" s="34">
        <f t="shared" ref="G87:I87" si="16">SUM(G88:G89)</f>
        <v>0</v>
      </c>
      <c r="H87" s="34">
        <f t="shared" si="16"/>
        <v>17295.66</v>
      </c>
      <c r="I87" s="34">
        <f t="shared" si="16"/>
        <v>5295.66</v>
      </c>
      <c r="J87" s="69"/>
      <c r="K87" s="69"/>
    </row>
    <row r="88" spans="1:11" x14ac:dyDescent="0.25">
      <c r="A88" s="75"/>
      <c r="B88" s="40"/>
      <c r="C88" s="51"/>
      <c r="D88" s="42" t="s">
        <v>111</v>
      </c>
      <c r="E88" s="42"/>
      <c r="F88" s="35">
        <v>11000</v>
      </c>
      <c r="G88" s="35"/>
      <c r="H88" s="35">
        <f>10225</f>
        <v>10225</v>
      </c>
      <c r="I88" s="35">
        <f t="shared" si="14"/>
        <v>-775</v>
      </c>
      <c r="J88" s="72"/>
      <c r="K88" s="72"/>
    </row>
    <row r="89" spans="1:11" x14ac:dyDescent="0.25">
      <c r="A89" s="76"/>
      <c r="B89" s="47"/>
      <c r="C89" s="48"/>
      <c r="D89" s="42" t="s">
        <v>112</v>
      </c>
      <c r="E89" s="42"/>
      <c r="F89" s="35">
        <v>1000</v>
      </c>
      <c r="G89" s="35"/>
      <c r="H89" s="35">
        <f>680+6390.66</f>
        <v>7070.66</v>
      </c>
      <c r="I89" s="35">
        <f t="shared" si="14"/>
        <v>6070.66</v>
      </c>
      <c r="J89" s="72"/>
      <c r="K89" s="72"/>
    </row>
    <row r="90" spans="1:11" x14ac:dyDescent="0.25">
      <c r="A90" s="36" t="s">
        <v>113</v>
      </c>
      <c r="B90" s="33">
        <v>3237</v>
      </c>
      <c r="C90" s="37"/>
      <c r="D90" s="30" t="s">
        <v>114</v>
      </c>
      <c r="E90" s="30"/>
      <c r="F90" s="34">
        <f>SUM(F91:F92)</f>
        <v>6300</v>
      </c>
      <c r="G90" s="34">
        <f t="shared" ref="G90:I90" si="17">SUM(G91:G92)</f>
        <v>0</v>
      </c>
      <c r="H90" s="34">
        <f t="shared" si="17"/>
        <v>10045.36</v>
      </c>
      <c r="I90" s="34">
        <f t="shared" si="17"/>
        <v>3745.36</v>
      </c>
      <c r="J90" s="69"/>
      <c r="K90" s="69"/>
    </row>
    <row r="91" spans="1:11" x14ac:dyDescent="0.25">
      <c r="A91" s="75"/>
      <c r="B91" s="40"/>
      <c r="C91" s="41"/>
      <c r="D91" s="42" t="s">
        <v>115</v>
      </c>
      <c r="E91" s="42"/>
      <c r="F91" s="35">
        <v>2800</v>
      </c>
      <c r="G91" s="35"/>
      <c r="H91" s="35">
        <v>2225.36</v>
      </c>
      <c r="I91" s="35">
        <f t="shared" si="14"/>
        <v>-574.63999999999987</v>
      </c>
      <c r="J91" s="69"/>
      <c r="K91" s="69"/>
    </row>
    <row r="92" spans="1:11" x14ac:dyDescent="0.25">
      <c r="A92" s="76"/>
      <c r="B92" s="47"/>
      <c r="C92" s="48"/>
      <c r="D92" s="42" t="s">
        <v>116</v>
      </c>
      <c r="E92" s="42"/>
      <c r="F92" s="35">
        <v>3500</v>
      </c>
      <c r="G92" s="35"/>
      <c r="H92" s="35">
        <f>(468.75+9306.25)/1.25</f>
        <v>7820</v>
      </c>
      <c r="I92" s="35">
        <f t="shared" si="14"/>
        <v>4320</v>
      </c>
      <c r="J92" s="85"/>
      <c r="K92" s="69"/>
    </row>
    <row r="93" spans="1:11" x14ac:dyDescent="0.25">
      <c r="A93" s="36" t="s">
        <v>117</v>
      </c>
      <c r="B93" s="33">
        <v>3238</v>
      </c>
      <c r="C93" s="37"/>
      <c r="D93" s="30" t="s">
        <v>118</v>
      </c>
      <c r="E93" s="30"/>
      <c r="F93" s="34">
        <f>SUM(F94)</f>
        <v>12000</v>
      </c>
      <c r="G93" s="34">
        <f t="shared" ref="G93:I93" si="18">SUM(G94)</f>
        <v>0</v>
      </c>
      <c r="H93" s="34">
        <f t="shared" si="18"/>
        <v>14039.096</v>
      </c>
      <c r="I93" s="34">
        <f t="shared" si="18"/>
        <v>2039.0959999999995</v>
      </c>
      <c r="J93" s="69"/>
      <c r="K93" s="69"/>
    </row>
    <row r="94" spans="1:11" x14ac:dyDescent="0.25">
      <c r="A94" s="39"/>
      <c r="B94" s="86"/>
      <c r="C94" s="51"/>
      <c r="D94" s="42" t="s">
        <v>119</v>
      </c>
      <c r="E94" s="61"/>
      <c r="F94" s="35">
        <v>12000</v>
      </c>
      <c r="G94" s="35"/>
      <c r="H94" s="35">
        <f>17548.87/1.25</f>
        <v>14039.096</v>
      </c>
      <c r="I94" s="35">
        <f t="shared" si="14"/>
        <v>2039.0959999999995</v>
      </c>
      <c r="J94" s="72"/>
      <c r="K94" s="72"/>
    </row>
    <row r="95" spans="1:11" x14ac:dyDescent="0.25">
      <c r="A95" s="68" t="s">
        <v>120</v>
      </c>
      <c r="B95" s="87">
        <v>3239</v>
      </c>
      <c r="C95" s="88"/>
      <c r="D95" s="30" t="s">
        <v>121</v>
      </c>
      <c r="E95" s="30"/>
      <c r="F95" s="34">
        <v>9600</v>
      </c>
      <c r="G95" s="34">
        <f>3000/1.25+9000/1.25</f>
        <v>9600</v>
      </c>
      <c r="H95" s="34">
        <f>37535.33/1.25</f>
        <v>30028.264000000003</v>
      </c>
      <c r="I95" s="34">
        <f t="shared" si="14"/>
        <v>20428.264000000003</v>
      </c>
      <c r="J95" s="69"/>
      <c r="K95" s="69"/>
    </row>
    <row r="96" spans="1:11" x14ac:dyDescent="0.25">
      <c r="A96" s="68"/>
      <c r="B96" s="87">
        <v>3292</v>
      </c>
      <c r="C96" s="88"/>
      <c r="D96" s="30" t="s">
        <v>122</v>
      </c>
      <c r="E96" s="30"/>
      <c r="F96" s="34">
        <v>13900</v>
      </c>
      <c r="G96" s="34">
        <f>13900</f>
        <v>13900</v>
      </c>
      <c r="H96" s="34">
        <v>13920</v>
      </c>
      <c r="I96" s="34">
        <f t="shared" si="14"/>
        <v>20</v>
      </c>
      <c r="J96" s="72"/>
      <c r="K96" s="72"/>
    </row>
    <row r="97" spans="1:11" x14ac:dyDescent="0.25">
      <c r="A97" s="68" t="s">
        <v>123</v>
      </c>
      <c r="B97" s="33">
        <v>3293</v>
      </c>
      <c r="C97" s="37"/>
      <c r="D97" s="30" t="s">
        <v>124</v>
      </c>
      <c r="E97" s="30"/>
      <c r="F97" s="34">
        <v>7200</v>
      </c>
      <c r="G97" s="34">
        <f>9000/1.25</f>
        <v>7200</v>
      </c>
      <c r="H97" s="74">
        <f>106.94/1.25</f>
        <v>85.551999999999992</v>
      </c>
      <c r="I97" s="34">
        <f t="shared" si="14"/>
        <v>-7114.4480000000003</v>
      </c>
      <c r="J97" s="72"/>
      <c r="K97" s="72"/>
    </row>
    <row r="98" spans="1:11" x14ac:dyDescent="0.25">
      <c r="A98" s="68" t="s">
        <v>125</v>
      </c>
      <c r="B98" s="33">
        <v>3294</v>
      </c>
      <c r="C98" s="37"/>
      <c r="D98" s="30" t="s">
        <v>126</v>
      </c>
      <c r="E98" s="30"/>
      <c r="F98" s="34">
        <v>920</v>
      </c>
      <c r="G98" s="34">
        <f>1150/1.25</f>
        <v>920</v>
      </c>
      <c r="H98" s="74">
        <f>1000/1.25</f>
        <v>800</v>
      </c>
      <c r="I98" s="34">
        <f t="shared" si="14"/>
        <v>-120</v>
      </c>
      <c r="J98" s="69"/>
      <c r="K98" s="69"/>
    </row>
    <row r="99" spans="1:11" x14ac:dyDescent="0.25">
      <c r="A99" s="68" t="s">
        <v>127</v>
      </c>
      <c r="B99" s="33">
        <v>3295</v>
      </c>
      <c r="C99" s="37"/>
      <c r="D99" s="30" t="s">
        <v>128</v>
      </c>
      <c r="E99" s="30"/>
      <c r="F99" s="34">
        <v>1200</v>
      </c>
      <c r="G99" s="35">
        <f>1500/1.25</f>
        <v>1200</v>
      </c>
      <c r="H99" s="34">
        <f>240/1.25+74321.99</f>
        <v>74513.990000000005</v>
      </c>
      <c r="I99" s="34">
        <f t="shared" si="14"/>
        <v>73313.990000000005</v>
      </c>
      <c r="J99" s="72"/>
      <c r="K99" s="72"/>
    </row>
    <row r="100" spans="1:11" x14ac:dyDescent="0.25">
      <c r="A100" s="68" t="s">
        <v>129</v>
      </c>
      <c r="B100" s="33">
        <v>3296</v>
      </c>
      <c r="C100" s="37"/>
      <c r="D100" s="30" t="s">
        <v>130</v>
      </c>
      <c r="E100" s="30"/>
      <c r="F100" s="35"/>
      <c r="G100" s="35"/>
      <c r="H100" s="54"/>
      <c r="I100" s="64"/>
      <c r="J100" s="72"/>
      <c r="K100" s="72"/>
    </row>
    <row r="101" spans="1:11" x14ac:dyDescent="0.25">
      <c r="A101" s="36" t="s">
        <v>131</v>
      </c>
      <c r="B101" s="33">
        <v>3299</v>
      </c>
      <c r="C101" s="37"/>
      <c r="D101" s="30" t="s">
        <v>132</v>
      </c>
      <c r="E101" s="30"/>
      <c r="F101" s="34">
        <f>SUM(F102:F105)</f>
        <v>3200</v>
      </c>
      <c r="G101" s="34">
        <f t="shared" ref="G101:I101" si="19">SUM(G102:G105)</f>
        <v>0</v>
      </c>
      <c r="H101" s="34">
        <f t="shared" si="19"/>
        <v>16270.336000000001</v>
      </c>
      <c r="I101" s="34">
        <f t="shared" si="19"/>
        <v>13070.336000000001</v>
      </c>
      <c r="J101" s="69"/>
      <c r="K101" s="69"/>
    </row>
    <row r="102" spans="1:11" x14ac:dyDescent="0.25">
      <c r="A102" s="39"/>
      <c r="B102" s="40"/>
      <c r="C102" s="41"/>
      <c r="D102" s="42" t="s">
        <v>133</v>
      </c>
      <c r="E102" s="42"/>
      <c r="F102" s="35">
        <v>800</v>
      </c>
      <c r="G102" s="35"/>
      <c r="H102" s="35">
        <f>1804.81/1.25</f>
        <v>1443.848</v>
      </c>
      <c r="I102" s="35">
        <f t="shared" ref="I102:I108" si="20">H102-F102</f>
        <v>643.84799999999996</v>
      </c>
      <c r="J102" s="72"/>
      <c r="K102" s="72"/>
    </row>
    <row r="103" spans="1:11" x14ac:dyDescent="0.25">
      <c r="A103" s="39"/>
      <c r="B103" s="44"/>
      <c r="C103" s="45"/>
      <c r="D103" s="42" t="s">
        <v>134</v>
      </c>
      <c r="E103" s="42"/>
      <c r="F103" s="35">
        <v>300</v>
      </c>
      <c r="G103" s="35"/>
      <c r="H103" s="35">
        <f>6951.34/1.25</f>
        <v>5561.0720000000001</v>
      </c>
      <c r="I103" s="35">
        <f t="shared" si="20"/>
        <v>5261.0720000000001</v>
      </c>
      <c r="J103" s="72"/>
      <c r="K103" s="72"/>
    </row>
    <row r="104" spans="1:11" x14ac:dyDescent="0.25">
      <c r="A104" s="39"/>
      <c r="B104" s="44"/>
      <c r="C104" s="45"/>
      <c r="D104" s="42" t="s">
        <v>135</v>
      </c>
      <c r="E104" s="42"/>
      <c r="F104" s="35">
        <v>350</v>
      </c>
      <c r="G104" s="35"/>
      <c r="H104" s="35">
        <v>0</v>
      </c>
      <c r="I104" s="35">
        <f t="shared" si="20"/>
        <v>-350</v>
      </c>
      <c r="J104" s="72"/>
      <c r="K104" s="72"/>
    </row>
    <row r="105" spans="1:11" x14ac:dyDescent="0.25">
      <c r="A105" s="39"/>
      <c r="B105" s="44"/>
      <c r="C105" s="45"/>
      <c r="D105" s="42" t="s">
        <v>136</v>
      </c>
      <c r="E105" s="42"/>
      <c r="F105" s="35">
        <v>1750</v>
      </c>
      <c r="G105" s="35"/>
      <c r="H105" s="35">
        <f>(1320+1271.88+8989.89)/1.25</f>
        <v>9265.4160000000011</v>
      </c>
      <c r="I105" s="35">
        <f t="shared" si="20"/>
        <v>7515.4160000000011</v>
      </c>
      <c r="J105" s="72"/>
      <c r="K105" s="72"/>
    </row>
    <row r="106" spans="1:11" x14ac:dyDescent="0.25">
      <c r="A106" s="36" t="s">
        <v>137</v>
      </c>
      <c r="B106" s="33">
        <v>3431</v>
      </c>
      <c r="C106" s="37"/>
      <c r="D106" s="30" t="s">
        <v>138</v>
      </c>
      <c r="E106" s="30"/>
      <c r="F106" s="34">
        <f>SUM(F107)</f>
        <v>7400</v>
      </c>
      <c r="G106" s="34">
        <f t="shared" ref="G106:I106" si="21">SUM(G107)</f>
        <v>0</v>
      </c>
      <c r="H106" s="34">
        <f t="shared" si="21"/>
        <v>7516.38</v>
      </c>
      <c r="I106" s="34">
        <f t="shared" si="21"/>
        <v>116.38000000000011</v>
      </c>
      <c r="J106" s="69"/>
      <c r="K106" s="69"/>
    </row>
    <row r="107" spans="1:11" x14ac:dyDescent="0.25">
      <c r="A107" s="46"/>
      <c r="B107" s="33"/>
      <c r="C107" s="71"/>
      <c r="D107" s="42" t="s">
        <v>139</v>
      </c>
      <c r="E107" s="42"/>
      <c r="F107" s="35">
        <v>7400</v>
      </c>
      <c r="G107" s="35"/>
      <c r="H107" s="54">
        <v>7516.38</v>
      </c>
      <c r="I107" s="35">
        <f t="shared" si="20"/>
        <v>116.38000000000011</v>
      </c>
      <c r="J107" s="72"/>
      <c r="K107" s="72"/>
    </row>
    <row r="108" spans="1:11" x14ac:dyDescent="0.25">
      <c r="A108" s="89" t="s">
        <v>140</v>
      </c>
      <c r="B108" s="90">
        <v>3224</v>
      </c>
      <c r="C108" s="37"/>
      <c r="D108" s="30" t="s">
        <v>141</v>
      </c>
      <c r="E108" s="42"/>
      <c r="F108" s="34">
        <v>24450</v>
      </c>
      <c r="G108" s="34">
        <f>20560.56/1.25+10000/1.25</f>
        <v>24448.448</v>
      </c>
      <c r="H108" s="74">
        <v>0</v>
      </c>
      <c r="I108" s="34">
        <f t="shared" si="20"/>
        <v>-24450</v>
      </c>
      <c r="J108" s="72"/>
      <c r="K108" s="72"/>
    </row>
    <row r="109" spans="1:11" x14ac:dyDescent="0.25">
      <c r="A109" s="68" t="s">
        <v>142</v>
      </c>
      <c r="B109" s="33">
        <v>4212</v>
      </c>
      <c r="C109" s="37"/>
      <c r="D109" s="30" t="s">
        <v>143</v>
      </c>
      <c r="E109" s="30"/>
      <c r="F109" s="34">
        <v>0</v>
      </c>
      <c r="G109" s="35"/>
      <c r="H109" s="54"/>
      <c r="I109" s="64"/>
      <c r="J109" s="72"/>
      <c r="K109" s="72"/>
    </row>
    <row r="110" spans="1:11" x14ac:dyDescent="0.25">
      <c r="A110" s="68"/>
      <c r="B110" s="33">
        <v>42123</v>
      </c>
      <c r="C110" s="37"/>
      <c r="D110" s="42" t="s">
        <v>144</v>
      </c>
      <c r="E110" s="91"/>
      <c r="F110" s="83"/>
      <c r="G110" s="83"/>
      <c r="H110" s="54"/>
      <c r="I110" s="64"/>
      <c r="J110" s="72"/>
      <c r="K110" s="72"/>
    </row>
    <row r="111" spans="1:11" x14ac:dyDescent="0.25">
      <c r="A111" s="68" t="s">
        <v>145</v>
      </c>
      <c r="B111" s="33">
        <v>4221</v>
      </c>
      <c r="C111" s="37"/>
      <c r="D111" s="30" t="s">
        <v>146</v>
      </c>
      <c r="E111" s="30"/>
      <c r="F111" s="34">
        <f>SUM(F112:F114)</f>
        <v>12800</v>
      </c>
      <c r="G111" s="34">
        <f t="shared" ref="G111:I111" si="22">SUM(G112:G114)</f>
        <v>12812</v>
      </c>
      <c r="H111" s="34">
        <f t="shared" si="22"/>
        <v>169383.91999999998</v>
      </c>
      <c r="I111" s="34">
        <f t="shared" si="22"/>
        <v>156583.91999999998</v>
      </c>
      <c r="J111" s="69"/>
      <c r="K111" s="69"/>
    </row>
    <row r="112" spans="1:11" x14ac:dyDescent="0.25">
      <c r="A112" s="68"/>
      <c r="B112" s="33"/>
      <c r="C112" s="37"/>
      <c r="D112" s="42" t="s">
        <v>147</v>
      </c>
      <c r="E112" s="30"/>
      <c r="F112" s="35">
        <v>12800</v>
      </c>
      <c r="G112" s="34">
        <f>16015/1.25</f>
        <v>12812</v>
      </c>
      <c r="H112" s="35">
        <f>211729.9/1.25</f>
        <v>169383.91999999998</v>
      </c>
      <c r="I112" s="35">
        <f t="shared" ref="I112:I114" si="23">H112-F112</f>
        <v>156583.91999999998</v>
      </c>
      <c r="J112" s="72"/>
      <c r="K112" s="72"/>
    </row>
    <row r="113" spans="1:11" x14ac:dyDescent="0.25">
      <c r="A113" s="68"/>
      <c r="B113" s="33"/>
      <c r="C113" s="37"/>
      <c r="D113" s="42" t="s">
        <v>148</v>
      </c>
      <c r="E113" s="30"/>
      <c r="F113" s="35">
        <v>0</v>
      </c>
      <c r="G113" s="35"/>
      <c r="H113" s="54">
        <v>0</v>
      </c>
      <c r="I113" s="35">
        <f t="shared" si="23"/>
        <v>0</v>
      </c>
      <c r="J113" s="72"/>
      <c r="K113" s="72"/>
    </row>
    <row r="114" spans="1:11" x14ac:dyDescent="0.25">
      <c r="A114" s="68"/>
      <c r="B114" s="33"/>
      <c r="C114" s="37"/>
      <c r="D114" s="42" t="s">
        <v>149</v>
      </c>
      <c r="E114" s="30"/>
      <c r="F114" s="35">
        <v>0</v>
      </c>
      <c r="G114" s="35"/>
      <c r="H114" s="54">
        <v>0</v>
      </c>
      <c r="I114" s="35">
        <f t="shared" si="23"/>
        <v>0</v>
      </c>
      <c r="J114" s="72"/>
      <c r="K114" s="72"/>
    </row>
    <row r="115" spans="1:11" x14ac:dyDescent="0.25">
      <c r="A115" s="68" t="s">
        <v>150</v>
      </c>
      <c r="B115" s="33">
        <v>4222</v>
      </c>
      <c r="C115" s="37"/>
      <c r="D115" s="30" t="s">
        <v>151</v>
      </c>
      <c r="E115" s="30"/>
      <c r="F115" s="35"/>
      <c r="G115" s="35"/>
      <c r="H115" s="54"/>
      <c r="I115" s="64"/>
      <c r="J115" s="72"/>
      <c r="K115" s="72"/>
    </row>
    <row r="116" spans="1:11" x14ac:dyDescent="0.25">
      <c r="A116" s="68" t="s">
        <v>152</v>
      </c>
      <c r="B116" s="33">
        <v>4226</v>
      </c>
      <c r="C116" s="37"/>
      <c r="D116" s="30" t="s">
        <v>153</v>
      </c>
      <c r="E116" s="30"/>
      <c r="F116" s="34">
        <v>0</v>
      </c>
      <c r="G116" s="34">
        <v>0</v>
      </c>
      <c r="H116" s="54">
        <v>0</v>
      </c>
      <c r="I116" s="64"/>
      <c r="J116" s="72"/>
      <c r="K116" s="72"/>
    </row>
    <row r="117" spans="1:11" x14ac:dyDescent="0.25">
      <c r="A117" s="68" t="s">
        <v>71</v>
      </c>
      <c r="B117" s="33">
        <v>4227</v>
      </c>
      <c r="C117" s="37"/>
      <c r="D117" s="30" t="s">
        <v>154</v>
      </c>
      <c r="E117" s="30"/>
      <c r="F117" s="34">
        <v>40000</v>
      </c>
      <c r="G117" s="34">
        <f>50000/1.25</f>
        <v>40000</v>
      </c>
      <c r="H117" s="92">
        <f>13250/1.25</f>
        <v>10600</v>
      </c>
      <c r="I117" s="92">
        <f t="shared" ref="I117:I120" si="24">H117-F117</f>
        <v>-29400</v>
      </c>
      <c r="J117" s="69"/>
      <c r="K117" s="69"/>
    </row>
    <row r="118" spans="1:11" x14ac:dyDescent="0.25">
      <c r="A118" s="68" t="s">
        <v>72</v>
      </c>
      <c r="B118" s="33">
        <v>4241</v>
      </c>
      <c r="C118" s="37"/>
      <c r="D118" s="30" t="s">
        <v>155</v>
      </c>
      <c r="E118" s="37"/>
      <c r="F118" s="34">
        <v>15000</v>
      </c>
      <c r="G118" s="34"/>
      <c r="H118" s="34">
        <f>9279.62/1.05</f>
        <v>8837.7333333333336</v>
      </c>
      <c r="I118" s="92">
        <f t="shared" si="24"/>
        <v>-6162.2666666666664</v>
      </c>
      <c r="J118" s="69"/>
      <c r="K118" s="69"/>
    </row>
    <row r="119" spans="1:11" ht="23.25" x14ac:dyDescent="0.25">
      <c r="A119" s="68"/>
      <c r="B119" s="93" t="s">
        <v>156</v>
      </c>
      <c r="C119" s="37"/>
      <c r="D119" s="30" t="s">
        <v>157</v>
      </c>
      <c r="E119" s="37"/>
      <c r="F119" s="34">
        <f>115000+100000</f>
        <v>215000</v>
      </c>
      <c r="G119" s="34"/>
      <c r="H119" s="34">
        <f>37742.67/1.05+154163.18/1.05+41485.18/1.25</f>
        <v>215955.62019047618</v>
      </c>
      <c r="I119" s="92">
        <f t="shared" si="24"/>
        <v>955.62019047618378</v>
      </c>
      <c r="J119" s="72"/>
      <c r="K119" s="72"/>
    </row>
    <row r="120" spans="1:11" x14ac:dyDescent="0.25">
      <c r="A120" s="68" t="s">
        <v>158</v>
      </c>
      <c r="B120" s="33">
        <v>4511</v>
      </c>
      <c r="C120" s="37"/>
      <c r="D120" s="30" t="s">
        <v>159</v>
      </c>
      <c r="E120" s="37"/>
      <c r="F120" s="35">
        <v>0</v>
      </c>
      <c r="G120" s="35"/>
      <c r="H120" s="34">
        <f>13750/1.25</f>
        <v>11000</v>
      </c>
      <c r="I120" s="92">
        <f t="shared" si="24"/>
        <v>11000</v>
      </c>
      <c r="J120" s="72"/>
      <c r="K120" s="72"/>
    </row>
    <row r="121" spans="1:11" x14ac:dyDescent="0.25">
      <c r="A121" s="71"/>
      <c r="B121" s="33"/>
      <c r="C121" s="94"/>
      <c r="D121" s="94"/>
      <c r="E121" s="94"/>
      <c r="F121" s="35"/>
      <c r="G121" s="35"/>
      <c r="H121" s="54"/>
      <c r="I121" s="64"/>
      <c r="J121" s="69"/>
      <c r="K121" s="69"/>
    </row>
    <row r="122" spans="1:11" x14ac:dyDescent="0.25">
      <c r="A122" s="94"/>
      <c r="B122" s="33"/>
      <c r="C122" s="71"/>
      <c r="D122" s="37" t="s">
        <v>160</v>
      </c>
      <c r="E122" s="37"/>
      <c r="F122" s="34">
        <f>F15+F16+F17+F22+F43+F46+F50+F58+F59+F64+F65+F80+F86+F87+F90+F93+F95+F96+F97+F98+F99+F101+F106+F108+F109+F111+F117+F118+F119</f>
        <v>1429345.2000000002</v>
      </c>
      <c r="G122" s="34">
        <f t="shared" ref="G122" si="25">G15+G16+G17+G22+G43+G46+G50+G58+G59+G64+G65+G80+G86+G87+G90+G93+G95+G96+G97+G98+G99+G101+G106+G108+G109+G111+G117+G118+G119</f>
        <v>150876.448</v>
      </c>
      <c r="H122" s="34">
        <f>H15+H16+H17+H22+H43+H46+H50+H58+H59+H64+H65+H80+H86+H87+H90+H93+H95+H96+H97+H98+H99+H101+H106+H108+H109+H111+H117+H118+H119</f>
        <v>1727412.9597142856</v>
      </c>
      <c r="I122" s="34">
        <f>I15+I16+I17+I22+I43+I46+I50+I58+I59+I64+I65+I80+I86+I87+I90+I93+I95+I96+I97+I98+I99+I101+I106+I108+I109+I111+I117+I118+I119</f>
        <v>348585.75971428573</v>
      </c>
      <c r="J122" s="69"/>
      <c r="K122" s="69"/>
    </row>
    <row r="123" spans="1:11" x14ac:dyDescent="0.25">
      <c r="A123" s="71"/>
      <c r="B123" s="95"/>
      <c r="C123" s="96"/>
      <c r="D123" s="97"/>
      <c r="E123" s="97"/>
      <c r="F123" s="63">
        <f>SUM(F24:F122)</f>
        <v>3575144</v>
      </c>
      <c r="G123" s="98"/>
      <c r="H123" s="99"/>
      <c r="I123" s="100"/>
      <c r="J123" s="85"/>
      <c r="K123" s="101"/>
    </row>
    <row r="124" spans="1:11" x14ac:dyDescent="0.25">
      <c r="A124" s="102"/>
      <c r="B124" s="7"/>
      <c r="D124" s="4"/>
      <c r="E124" s="4"/>
      <c r="H124" s="8"/>
      <c r="J124" s="69"/>
      <c r="K124" s="69"/>
    </row>
    <row r="125" spans="1:11" x14ac:dyDescent="0.25">
      <c r="A125" s="103"/>
      <c r="B125" s="7"/>
      <c r="D125" s="4" t="s">
        <v>161</v>
      </c>
      <c r="E125" s="4" t="s">
        <v>162</v>
      </c>
      <c r="F125" s="104"/>
      <c r="G125" s="104"/>
      <c r="H125" s="104" t="s">
        <v>163</v>
      </c>
      <c r="I125" s="104"/>
      <c r="J125" s="105"/>
      <c r="K125" s="105"/>
    </row>
    <row r="126" spans="1:11" x14ac:dyDescent="0.25">
      <c r="B126" s="10"/>
      <c r="C126" s="10"/>
      <c r="D126" s="10"/>
      <c r="E126" s="3" t="s">
        <v>164</v>
      </c>
      <c r="F126" s="104"/>
      <c r="G126" s="104"/>
      <c r="H126" s="104" t="s">
        <v>165</v>
      </c>
      <c r="I126" s="104"/>
      <c r="J126" s="105"/>
      <c r="K126" s="105"/>
    </row>
    <row r="127" spans="1:11" x14ac:dyDescent="0.25">
      <c r="B127" s="10"/>
      <c r="C127" s="10"/>
      <c r="D127" s="10"/>
      <c r="E127" s="105"/>
      <c r="H127" s="8"/>
    </row>
  </sheetData>
  <mergeCells count="77">
    <mergeCell ref="J122:K122"/>
    <mergeCell ref="J123:K123"/>
    <mergeCell ref="J124:K124"/>
    <mergeCell ref="B126:D126"/>
    <mergeCell ref="B127:D127"/>
    <mergeCell ref="A106:A107"/>
    <mergeCell ref="J106:K106"/>
    <mergeCell ref="J111:K111"/>
    <mergeCell ref="J117:K117"/>
    <mergeCell ref="J118:K118"/>
    <mergeCell ref="J121:K121"/>
    <mergeCell ref="A93:A94"/>
    <mergeCell ref="J93:K93"/>
    <mergeCell ref="J95:K95"/>
    <mergeCell ref="J98:K98"/>
    <mergeCell ref="A101:A105"/>
    <mergeCell ref="J101:K101"/>
    <mergeCell ref="B102:B105"/>
    <mergeCell ref="A87:A89"/>
    <mergeCell ref="J87:K87"/>
    <mergeCell ref="B88:B89"/>
    <mergeCell ref="A90:A92"/>
    <mergeCell ref="J90:K90"/>
    <mergeCell ref="B91:B92"/>
    <mergeCell ref="J91:K91"/>
    <mergeCell ref="J92:K92"/>
    <mergeCell ref="A65:A79"/>
    <mergeCell ref="J65:K65"/>
    <mergeCell ref="B71:B79"/>
    <mergeCell ref="A80:A85"/>
    <mergeCell ref="J80:K80"/>
    <mergeCell ref="B81:B85"/>
    <mergeCell ref="J81:K81"/>
    <mergeCell ref="J51:K51"/>
    <mergeCell ref="J52:K52"/>
    <mergeCell ref="J58:K58"/>
    <mergeCell ref="A59:A63"/>
    <mergeCell ref="J59:K59"/>
    <mergeCell ref="B60:B63"/>
    <mergeCell ref="J41:K41"/>
    <mergeCell ref="J42:K42"/>
    <mergeCell ref="J43:K43"/>
    <mergeCell ref="J45:K45"/>
    <mergeCell ref="J47:K47"/>
    <mergeCell ref="J50:K50"/>
    <mergeCell ref="J34:K34"/>
    <mergeCell ref="J35:K35"/>
    <mergeCell ref="J36:K36"/>
    <mergeCell ref="J37:K37"/>
    <mergeCell ref="J38:K38"/>
    <mergeCell ref="J40:K40"/>
    <mergeCell ref="A22:A45"/>
    <mergeCell ref="B23:B45"/>
    <mergeCell ref="J24:K24"/>
    <mergeCell ref="J25:K25"/>
    <mergeCell ref="J27:K27"/>
    <mergeCell ref="J28:K28"/>
    <mergeCell ref="J29:K29"/>
    <mergeCell ref="J31:K31"/>
    <mergeCell ref="J32:K32"/>
    <mergeCell ref="J33:K33"/>
    <mergeCell ref="I11:I12"/>
    <mergeCell ref="J11:K12"/>
    <mergeCell ref="J13:K13"/>
    <mergeCell ref="A17:A21"/>
    <mergeCell ref="J17:K17"/>
    <mergeCell ref="B18:B21"/>
    <mergeCell ref="A5:D5"/>
    <mergeCell ref="A6:K7"/>
    <mergeCell ref="B8:I8"/>
    <mergeCell ref="A11:A12"/>
    <mergeCell ref="B11:B12"/>
    <mergeCell ref="C11:C12"/>
    <mergeCell ref="D11:D12"/>
    <mergeCell ref="E11:E12"/>
    <mergeCell ref="F11:F12"/>
    <mergeCell ref="H11: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Tajnica</cp:lastModifiedBy>
  <dcterms:created xsi:type="dcterms:W3CDTF">2022-01-13T10:55:11Z</dcterms:created>
  <dcterms:modified xsi:type="dcterms:W3CDTF">2022-01-13T10:55:40Z</dcterms:modified>
</cp:coreProperties>
</file>