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Katarina\Desktop\Škola financije\Financijski plan 2022 (2023,2024)\"/>
    </mc:Choice>
  </mc:AlternateContent>
  <bookViews>
    <workbookView xWindow="0" yWindow="0" windowWidth="28800" windowHeight="11700" activeTab="2"/>
  </bookViews>
  <sheets>
    <sheet name="SAŽETAK kn" sheetId="13" r:id="rId1"/>
    <sheet name="Prihodi-ekonom.klasif" sheetId="15" r:id="rId2"/>
    <sheet name="Rash-ekonom.klasif" sheetId="14" r:id="rId3"/>
    <sheet name="Prih.i rash. prema izvorima fin" sheetId="3" r:id="rId4"/>
    <sheet name="POSEBNI DIO" sheetId="7" r:id="rId5"/>
  </sheets>
  <definedNames>
    <definedName name="_xlnm._FilterDatabase" localSheetId="4" hidden="1">'POSEBNI DIO'!$A$5:$H$342</definedName>
    <definedName name="_xlnm.Print_Area" localSheetId="4">'POSEBNI DIO'!$A$1:$H$370</definedName>
    <definedName name="_xlnm.Print_Area" localSheetId="3">'Prih.i rash. prema izvorima fin'!$A$1:$G$49</definedName>
    <definedName name="_xlnm.Print_Area" localSheetId="0">'SAŽETAK kn'!$A$1:$H$34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7" i="14" l="1"/>
  <c r="F66" i="14"/>
  <c r="F65" i="14"/>
  <c r="F64" i="14"/>
  <c r="F63" i="14"/>
  <c r="F62" i="14"/>
  <c r="F60" i="14"/>
  <c r="F59" i="14"/>
  <c r="F56" i="14"/>
  <c r="F55" i="14"/>
  <c r="F54" i="14"/>
  <c r="F53" i="14"/>
  <c r="F52" i="14"/>
  <c r="F48" i="14"/>
  <c r="F47" i="14"/>
  <c r="F46" i="14"/>
  <c r="F45" i="14"/>
  <c r="F44" i="14"/>
  <c r="F43" i="14"/>
  <c r="F42" i="14"/>
  <c r="F41" i="14"/>
  <c r="F40" i="14"/>
  <c r="F39" i="14"/>
  <c r="F37" i="14"/>
  <c r="F36" i="14"/>
  <c r="F35" i="14"/>
  <c r="F34" i="14"/>
  <c r="F33" i="14"/>
  <c r="F32" i="14"/>
  <c r="F31" i="14"/>
  <c r="F29" i="14"/>
  <c r="F28" i="14"/>
  <c r="F27" i="14"/>
  <c r="F26" i="14"/>
  <c r="F25" i="14"/>
  <c r="F24" i="14"/>
  <c r="F23" i="14"/>
  <c r="F22" i="14"/>
  <c r="F21" i="14"/>
  <c r="F20" i="14"/>
  <c r="F19" i="14"/>
  <c r="F18" i="14"/>
  <c r="F17" i="14"/>
  <c r="F16" i="14"/>
  <c r="F15" i="14"/>
  <c r="F14" i="14"/>
  <c r="F13" i="14"/>
  <c r="F12" i="14"/>
  <c r="F11" i="14"/>
  <c r="F10" i="14"/>
  <c r="F9" i="14"/>
  <c r="F8" i="14"/>
  <c r="F7" i="14"/>
  <c r="F6" i="14"/>
  <c r="F5" i="14"/>
  <c r="D27" i="15" l="1"/>
  <c r="E27" i="15"/>
  <c r="F27" i="15"/>
  <c r="C27" i="15"/>
  <c r="C41" i="3"/>
  <c r="C10" i="3"/>
  <c r="C11" i="3" s="1"/>
  <c r="F8" i="13"/>
  <c r="D28" i="15"/>
  <c r="E28" i="15"/>
  <c r="D29" i="15"/>
  <c r="E29" i="15"/>
  <c r="F29" i="15" s="1"/>
  <c r="C29" i="15"/>
  <c r="F30" i="15"/>
  <c r="C11" i="15"/>
  <c r="C12" i="15"/>
  <c r="C24" i="15"/>
  <c r="C23" i="15" s="1"/>
  <c r="C17" i="15"/>
  <c r="C15" i="15"/>
  <c r="C8" i="15"/>
  <c r="C7" i="15" s="1"/>
  <c r="F12" i="13"/>
  <c r="F11" i="13"/>
  <c r="C21" i="15"/>
  <c r="C14" i="15"/>
  <c r="C18" i="15"/>
  <c r="F19" i="15"/>
  <c r="C46" i="14"/>
  <c r="C56" i="14"/>
  <c r="C55" i="14" s="1"/>
  <c r="C57" i="14"/>
  <c r="C66" i="14"/>
  <c r="C65" i="14"/>
  <c r="C63" i="14"/>
  <c r="C59" i="14"/>
  <c r="E52" i="14"/>
  <c r="E53" i="14"/>
  <c r="C53" i="14"/>
  <c r="D53" i="14"/>
  <c r="C45" i="14"/>
  <c r="C6" i="14" s="1"/>
  <c r="C37" i="14"/>
  <c r="C27" i="14"/>
  <c r="C20" i="14"/>
  <c r="C16" i="14"/>
  <c r="C12" i="14"/>
  <c r="C7" i="14"/>
  <c r="C10" i="14"/>
  <c r="C8" i="14"/>
  <c r="F38" i="3"/>
  <c r="F34" i="3"/>
  <c r="G34" i="3"/>
  <c r="F30" i="3"/>
  <c r="G30" i="3"/>
  <c r="F22" i="3"/>
  <c r="F18" i="3"/>
  <c r="F14" i="3"/>
  <c r="C14" i="3"/>
  <c r="P7" i="3" s="1"/>
  <c r="Q7" i="3" s="1"/>
  <c r="C7" i="3"/>
  <c r="C19" i="3"/>
  <c r="C18" i="3"/>
  <c r="C23" i="3"/>
  <c r="F10" i="3" l="1"/>
  <c r="C28" i="15"/>
  <c r="F28" i="15" s="1"/>
  <c r="C6" i="15"/>
  <c r="C52" i="14"/>
  <c r="D52" i="14"/>
  <c r="C15" i="14"/>
  <c r="C5" i="14" s="1"/>
  <c r="C15" i="3"/>
  <c r="H270" i="7"/>
  <c r="H291" i="7"/>
  <c r="G304" i="7"/>
  <c r="H304" i="7" s="1"/>
  <c r="F304" i="7"/>
  <c r="F341" i="7"/>
  <c r="G341" i="7"/>
  <c r="G320" i="7"/>
  <c r="F320" i="7"/>
  <c r="G335" i="7"/>
  <c r="F336" i="7"/>
  <c r="F335" i="7" s="1"/>
  <c r="G336" i="7"/>
  <c r="G310" i="7"/>
  <c r="F310" i="7"/>
  <c r="G315" i="7"/>
  <c r="F315" i="7"/>
  <c r="G291" i="7"/>
  <c r="G290" i="7" s="1"/>
  <c r="F291" i="7"/>
  <c r="F290" i="7" s="1"/>
  <c r="G287" i="7"/>
  <c r="G285" i="7"/>
  <c r="G283" i="7"/>
  <c r="G279" i="7"/>
  <c r="H279" i="7" s="1"/>
  <c r="G277" i="7"/>
  <c r="G275" i="7"/>
  <c r="F287" i="7"/>
  <c r="F285" i="7"/>
  <c r="F283" i="7"/>
  <c r="F279" i="7"/>
  <c r="F277" i="7"/>
  <c r="F275" i="7"/>
  <c r="G262" i="7"/>
  <c r="F262" i="7"/>
  <c r="G265" i="7"/>
  <c r="F265" i="7"/>
  <c r="G258" i="7"/>
  <c r="H258" i="7" s="1"/>
  <c r="F258" i="7"/>
  <c r="G229" i="7"/>
  <c r="F229" i="7"/>
  <c r="G224" i="7"/>
  <c r="F224" i="7"/>
  <c r="G221" i="7"/>
  <c r="F221" i="7"/>
  <c r="G212" i="7"/>
  <c r="H224" i="7" l="1"/>
  <c r="H262" i="7"/>
  <c r="H265" i="7"/>
  <c r="H287" i="7"/>
  <c r="F274" i="7"/>
  <c r="H275" i="7"/>
  <c r="H277" i="7"/>
  <c r="H310" i="7"/>
  <c r="F309" i="7"/>
  <c r="H315" i="7"/>
  <c r="H320" i="7"/>
  <c r="G309" i="7"/>
  <c r="F282" i="7"/>
  <c r="G282" i="7"/>
  <c r="G274" i="7"/>
  <c r="H283" i="7"/>
  <c r="F261" i="7"/>
  <c r="G261" i="7"/>
  <c r="G220" i="7"/>
  <c r="F220" i="7"/>
  <c r="H221" i="7"/>
  <c r="H212" i="7"/>
  <c r="C5" i="15"/>
  <c r="F5" i="15" s="1"/>
  <c r="F9" i="13"/>
  <c r="G242" i="7"/>
  <c r="F252" i="7"/>
  <c r="F242" i="7"/>
  <c r="F237" i="7"/>
  <c r="F234" i="7"/>
  <c r="G216" i="7"/>
  <c r="F216" i="7"/>
  <c r="F212" i="7"/>
  <c r="G207" i="7"/>
  <c r="F207" i="7"/>
  <c r="F206" i="7" s="1"/>
  <c r="G203" i="7"/>
  <c r="F203" i="7"/>
  <c r="F196" i="7"/>
  <c r="F190" i="7"/>
  <c r="F187" i="7"/>
  <c r="G182" i="7"/>
  <c r="H182" i="7" s="1"/>
  <c r="F182" i="7"/>
  <c r="F176" i="7"/>
  <c r="G178" i="7"/>
  <c r="F178" i="7"/>
  <c r="G176" i="7"/>
  <c r="H176" i="7" s="1"/>
  <c r="F169" i="7"/>
  <c r="F168" i="7" s="1"/>
  <c r="G161" i="7"/>
  <c r="F161" i="7"/>
  <c r="F160" i="7" s="1"/>
  <c r="G155" i="7"/>
  <c r="F155" i="7"/>
  <c r="F154" i="7" s="1"/>
  <c r="F148" i="7"/>
  <c r="F147" i="7" s="1"/>
  <c r="G148" i="7"/>
  <c r="G140" i="7"/>
  <c r="F140" i="7"/>
  <c r="G137" i="7"/>
  <c r="F137" i="7"/>
  <c r="G135" i="7"/>
  <c r="F135" i="7"/>
  <c r="G133" i="7"/>
  <c r="F133" i="7"/>
  <c r="G127" i="7"/>
  <c r="F127" i="7"/>
  <c r="G124" i="7"/>
  <c r="F124" i="7"/>
  <c r="G122" i="7"/>
  <c r="F122" i="7"/>
  <c r="G120" i="7"/>
  <c r="F120" i="7"/>
  <c r="G113" i="7"/>
  <c r="F113" i="7"/>
  <c r="F112" i="7" s="1"/>
  <c r="G110" i="7"/>
  <c r="F110" i="7"/>
  <c r="G108" i="7"/>
  <c r="F108" i="7"/>
  <c r="G106" i="7"/>
  <c r="F106" i="7"/>
  <c r="G93" i="7"/>
  <c r="G95" i="7"/>
  <c r="H95" i="7" s="1"/>
  <c r="G97" i="7"/>
  <c r="G100" i="7"/>
  <c r="F100" i="7"/>
  <c r="F99" i="7" s="1"/>
  <c r="F97" i="7"/>
  <c r="F95" i="7"/>
  <c r="F93" i="7"/>
  <c r="G87" i="7"/>
  <c r="F87" i="7"/>
  <c r="G81" i="7"/>
  <c r="F81" i="7"/>
  <c r="G74" i="7"/>
  <c r="F74" i="7"/>
  <c r="F73" i="7" s="1"/>
  <c r="G68" i="7"/>
  <c r="F68" i="7"/>
  <c r="F63" i="7" s="1"/>
  <c r="G57" i="7"/>
  <c r="H57" i="7" s="1"/>
  <c r="G55" i="7"/>
  <c r="H55" i="7" s="1"/>
  <c r="F55" i="7"/>
  <c r="F57" i="7"/>
  <c r="G49" i="7"/>
  <c r="G43" i="7"/>
  <c r="G34" i="7"/>
  <c r="H34" i="7" s="1"/>
  <c r="G29" i="7"/>
  <c r="H29" i="7" s="1"/>
  <c r="G26" i="7"/>
  <c r="F34" i="7"/>
  <c r="F29" i="7"/>
  <c r="F43" i="7"/>
  <c r="F26" i="7"/>
  <c r="F49" i="7"/>
  <c r="H19" i="7"/>
  <c r="G12" i="7"/>
  <c r="F12" i="7"/>
  <c r="H332" i="7"/>
  <c r="H300" i="7"/>
  <c r="H299" i="7"/>
  <c r="H298" i="7"/>
  <c r="H297" i="7"/>
  <c r="H296" i="7"/>
  <c r="H295" i="7"/>
  <c r="H294" i="7"/>
  <c r="H50" i="7"/>
  <c r="H11" i="13"/>
  <c r="H12" i="13"/>
  <c r="G11" i="13"/>
  <c r="G12" i="13"/>
  <c r="H8" i="13"/>
  <c r="H7" i="13" s="1"/>
  <c r="G8" i="13"/>
  <c r="G31" i="15"/>
  <c r="G24" i="15"/>
  <c r="G23" i="15"/>
  <c r="G21" i="15"/>
  <c r="G18" i="15"/>
  <c r="G17" i="15"/>
  <c r="G15" i="15"/>
  <c r="G14" i="15"/>
  <c r="G8" i="15"/>
  <c r="G7" i="15"/>
  <c r="G6" i="15"/>
  <c r="G5" i="15"/>
  <c r="F31" i="15"/>
  <c r="F26" i="15"/>
  <c r="F25" i="15"/>
  <c r="F24" i="15"/>
  <c r="F23" i="15"/>
  <c r="F22" i="15"/>
  <c r="F21" i="15"/>
  <c r="F20" i="15"/>
  <c r="F18" i="15"/>
  <c r="F17" i="15"/>
  <c r="F16" i="15"/>
  <c r="F15" i="15"/>
  <c r="F14" i="15"/>
  <c r="F13" i="15"/>
  <c r="F12" i="15"/>
  <c r="F11" i="15"/>
  <c r="F10" i="15"/>
  <c r="F9" i="15"/>
  <c r="F8" i="15"/>
  <c r="F7" i="15"/>
  <c r="D6" i="15"/>
  <c r="D23" i="15"/>
  <c r="D17" i="15"/>
  <c r="D14" i="15"/>
  <c r="D11" i="15"/>
  <c r="D7" i="15"/>
  <c r="G46" i="14"/>
  <c r="G50" i="14"/>
  <c r="G66" i="14"/>
  <c r="G12" i="14"/>
  <c r="G8" i="14"/>
  <c r="D66" i="14"/>
  <c r="D65" i="14" s="1"/>
  <c r="G65" i="14" s="1"/>
  <c r="D63" i="14"/>
  <c r="G63" i="14" s="1"/>
  <c r="D59" i="14"/>
  <c r="G59" i="14" s="1"/>
  <c r="D57" i="14"/>
  <c r="D56" i="14" s="1"/>
  <c r="D12" i="14"/>
  <c r="D10" i="14"/>
  <c r="G10" i="14" s="1"/>
  <c r="D50" i="14"/>
  <c r="D49" i="14" s="1"/>
  <c r="G49" i="14" s="1"/>
  <c r="D46" i="14"/>
  <c r="D45" i="14" s="1"/>
  <c r="G45" i="14" s="1"/>
  <c r="D37" i="14"/>
  <c r="G37" i="14" s="1"/>
  <c r="D27" i="14"/>
  <c r="G27" i="14" s="1"/>
  <c r="D20" i="14"/>
  <c r="G20" i="14" s="1"/>
  <c r="D16" i="14"/>
  <c r="D15" i="14" s="1"/>
  <c r="G15" i="14" s="1"/>
  <c r="D8" i="14"/>
  <c r="H43" i="7" l="1"/>
  <c r="H49" i="7"/>
  <c r="H81" i="7"/>
  <c r="H106" i="7"/>
  <c r="H97" i="7"/>
  <c r="H120" i="7"/>
  <c r="H124" i="7"/>
  <c r="H127" i="7"/>
  <c r="H135" i="7"/>
  <c r="H242" i="7"/>
  <c r="F233" i="7"/>
  <c r="F232" i="7" s="1"/>
  <c r="F211" i="7"/>
  <c r="H216" i="7"/>
  <c r="G211" i="7"/>
  <c r="G206" i="7"/>
  <c r="H207" i="7"/>
  <c r="H203" i="7"/>
  <c r="H178" i="7"/>
  <c r="F175" i="7"/>
  <c r="G160" i="7"/>
  <c r="H161" i="7"/>
  <c r="G154" i="7"/>
  <c r="H155" i="7"/>
  <c r="G147" i="7"/>
  <c r="H148" i="7"/>
  <c r="H140" i="7"/>
  <c r="H137" i="7"/>
  <c r="H133" i="7"/>
  <c r="H122" i="7"/>
  <c r="H108" i="7"/>
  <c r="G112" i="7"/>
  <c r="H113" i="7"/>
  <c r="H110" i="7"/>
  <c r="H100" i="7"/>
  <c r="H93" i="7"/>
  <c r="H87" i="7"/>
  <c r="G73" i="7"/>
  <c r="H74" i="7"/>
  <c r="G63" i="7"/>
  <c r="H68" i="7"/>
  <c r="H26" i="7"/>
  <c r="F119" i="7"/>
  <c r="H12" i="7"/>
  <c r="G92" i="7"/>
  <c r="G119" i="7"/>
  <c r="G132" i="7"/>
  <c r="F186" i="7"/>
  <c r="F92" i="7"/>
  <c r="F105" i="7"/>
  <c r="G105" i="7"/>
  <c r="F132" i="7"/>
  <c r="G25" i="7"/>
  <c r="G54" i="7"/>
  <c r="F54" i="7"/>
  <c r="F25" i="7"/>
  <c r="G10" i="13"/>
  <c r="G56" i="14"/>
  <c r="D55" i="14"/>
  <c r="G55" i="14" s="1"/>
  <c r="D7" i="14"/>
  <c r="G7" i="14" s="1"/>
  <c r="G16" i="14"/>
  <c r="G57" i="14"/>
  <c r="D6" i="14" l="1"/>
  <c r="D5" i="14" l="1"/>
  <c r="G6" i="14"/>
  <c r="D5" i="15" l="1"/>
  <c r="G38" i="3"/>
  <c r="G26" i="3"/>
  <c r="G22" i="3"/>
  <c r="G18" i="3"/>
  <c r="G10" i="3"/>
  <c r="G6" i="3"/>
  <c r="F6" i="3"/>
  <c r="G14" i="3"/>
  <c r="D10" i="3"/>
  <c r="D34" i="3"/>
  <c r="D41" i="3" s="1"/>
  <c r="D18" i="3"/>
  <c r="E10" i="3"/>
  <c r="E41" i="3" s="1"/>
  <c r="C42" i="3"/>
  <c r="C51" i="3"/>
  <c r="C40" i="3"/>
  <c r="C36" i="3"/>
  <c r="C32" i="3"/>
  <c r="E28" i="3"/>
  <c r="C28" i="3"/>
  <c r="C24" i="3"/>
  <c r="C20" i="3"/>
  <c r="C16" i="3"/>
  <c r="C12" i="3"/>
  <c r="C8" i="3"/>
  <c r="I26" i="3"/>
  <c r="K6" i="3"/>
  <c r="E5" i="14"/>
  <c r="E5" i="15"/>
  <c r="C52" i="3" l="1"/>
  <c r="C43" i="3"/>
  <c r="G5" i="14"/>
  <c r="H41" i="3"/>
  <c r="G170" i="7"/>
  <c r="G169" i="7" s="1"/>
  <c r="G168" i="7" l="1"/>
  <c r="H169" i="7"/>
  <c r="G235" i="7"/>
  <c r="G234" i="7" s="1"/>
  <c r="H234" i="7" s="1"/>
  <c r="G266" i="7"/>
  <c r="G11" i="7"/>
  <c r="J364" i="7"/>
  <c r="G337" i="7"/>
  <c r="G334" i="7" s="1"/>
  <c r="G256" i="7"/>
  <c r="G252" i="7" s="1"/>
  <c r="H252" i="7" s="1"/>
  <c r="G240" i="7"/>
  <c r="G237" i="7" s="1"/>
  <c r="H237" i="7" s="1"/>
  <c r="G226" i="7"/>
  <c r="G228" i="7"/>
  <c r="G227" i="7" s="1"/>
  <c r="F228" i="7"/>
  <c r="F227" i="7" s="1"/>
  <c r="G188" i="7"/>
  <c r="G187" i="7" s="1"/>
  <c r="H187" i="7" s="1"/>
  <c r="G191" i="7"/>
  <c r="G190" i="7" s="1"/>
  <c r="H190" i="7" s="1"/>
  <c r="G202" i="7"/>
  <c r="G197" i="7"/>
  <c r="G175" i="7"/>
  <c r="G181" i="7"/>
  <c r="G257" i="7"/>
  <c r="F257" i="7"/>
  <c r="G269" i="7"/>
  <c r="G303" i="7"/>
  <c r="G308" i="7"/>
  <c r="G319" i="7"/>
  <c r="G340" i="7"/>
  <c r="G339" i="7" s="1"/>
  <c r="G331" i="7"/>
  <c r="F331" i="7"/>
  <c r="F330" i="7" s="1"/>
  <c r="F329" i="7" s="1"/>
  <c r="F334" i="7"/>
  <c r="F340" i="7"/>
  <c r="F339" i="7" s="1"/>
  <c r="G139" i="7"/>
  <c r="G126" i="7"/>
  <c r="G99" i="7"/>
  <c r="G86" i="7"/>
  <c r="G85" i="7" s="1"/>
  <c r="G80" i="7"/>
  <c r="G48" i="7"/>
  <c r="G18" i="7"/>
  <c r="G17" i="7" s="1"/>
  <c r="F308" i="7"/>
  <c r="F303" i="7"/>
  <c r="F302" i="7" s="1"/>
  <c r="F301" i="7" s="1"/>
  <c r="F319" i="7"/>
  <c r="F318" i="7" s="1"/>
  <c r="F269" i="7"/>
  <c r="F268" i="7" s="1"/>
  <c r="F267" i="7" s="1"/>
  <c r="F365" i="7" s="1"/>
  <c r="D39" i="3" s="1"/>
  <c r="D40" i="3" s="1"/>
  <c r="F260" i="7"/>
  <c r="F219" i="7"/>
  <c r="F210" i="7"/>
  <c r="F174" i="7"/>
  <c r="F181" i="7"/>
  <c r="F180" i="7" s="1"/>
  <c r="F153" i="7"/>
  <c r="F152" i="7" s="1"/>
  <c r="F151" i="7" s="1"/>
  <c r="F159" i="7"/>
  <c r="F158" i="7" s="1"/>
  <c r="F157" i="7" s="1"/>
  <c r="F167" i="7"/>
  <c r="F166" i="7" s="1"/>
  <c r="F165" i="7" s="1"/>
  <c r="F164" i="7" s="1"/>
  <c r="F146" i="7"/>
  <c r="F145" i="7" s="1"/>
  <c r="F144" i="7" s="1"/>
  <c r="F126" i="7"/>
  <c r="F139" i="7"/>
  <c r="F86" i="7"/>
  <c r="F85" i="7" s="1"/>
  <c r="F84" i="7" s="1"/>
  <c r="F83" i="7" s="1"/>
  <c r="F80" i="7"/>
  <c r="F79" i="7" s="1"/>
  <c r="F78" i="7" s="1"/>
  <c r="F77" i="7" s="1"/>
  <c r="F72" i="7"/>
  <c r="F71" i="7" s="1"/>
  <c r="F70" i="7" s="1"/>
  <c r="F62" i="7" s="1"/>
  <c r="F61" i="7" s="1"/>
  <c r="F60" i="7" s="1"/>
  <c r="F53" i="7"/>
  <c r="F52" i="7" s="1"/>
  <c r="F51" i="7" s="1"/>
  <c r="F48" i="7"/>
  <c r="F24" i="7" s="1"/>
  <c r="F18" i="7"/>
  <c r="F17" i="7" s="1"/>
  <c r="F16" i="7" s="1"/>
  <c r="F11" i="7"/>
  <c r="F10" i="7" s="1"/>
  <c r="G233" i="7" l="1"/>
  <c r="G196" i="7"/>
  <c r="H196" i="7" s="1"/>
  <c r="G186" i="7"/>
  <c r="H186" i="7" s="1"/>
  <c r="G333" i="7"/>
  <c r="H126" i="7"/>
  <c r="H105" i="7"/>
  <c r="H154" i="7"/>
  <c r="G260" i="7"/>
  <c r="H260" i="7" s="1"/>
  <c r="H261" i="7"/>
  <c r="G84" i="7"/>
  <c r="H85" i="7"/>
  <c r="G210" i="7"/>
  <c r="H210" i="7" s="1"/>
  <c r="H211" i="7"/>
  <c r="G72" i="7"/>
  <c r="H73" i="7"/>
  <c r="G146" i="7"/>
  <c r="H147" i="7"/>
  <c r="G318" i="7"/>
  <c r="H318" i="7" s="1"/>
  <c r="H319" i="7"/>
  <c r="G180" i="7"/>
  <c r="H180" i="7" s="1"/>
  <c r="H181" i="7"/>
  <c r="H282" i="7"/>
  <c r="F185" i="7"/>
  <c r="F184" i="7" s="1"/>
  <c r="F362" i="7" s="1"/>
  <c r="D27" i="3" s="1"/>
  <c r="G79" i="7"/>
  <c r="H80" i="7"/>
  <c r="H112" i="7"/>
  <c r="G153" i="7"/>
  <c r="H308" i="7"/>
  <c r="G174" i="7"/>
  <c r="H174" i="7" s="1"/>
  <c r="H175" i="7"/>
  <c r="G330" i="7"/>
  <c r="H331" i="7"/>
  <c r="G219" i="7"/>
  <c r="H220" i="7"/>
  <c r="H48" i="7"/>
  <c r="H92" i="7"/>
  <c r="H132" i="7"/>
  <c r="G167" i="7"/>
  <c r="H168" i="7"/>
  <c r="G273" i="7"/>
  <c r="H274" i="7"/>
  <c r="G118" i="7"/>
  <c r="H119" i="7"/>
  <c r="G302" i="7"/>
  <c r="H303" i="7"/>
  <c r="H86" i="7"/>
  <c r="G159" i="7"/>
  <c r="H160" i="7"/>
  <c r="F218" i="7"/>
  <c r="F363" i="7" s="1"/>
  <c r="D31" i="3" s="1"/>
  <c r="D32" i="3" s="1"/>
  <c r="H99" i="7"/>
  <c r="H139" i="7"/>
  <c r="G268" i="7"/>
  <c r="H269" i="7"/>
  <c r="H206" i="7"/>
  <c r="G53" i="7"/>
  <c r="H53" i="7" s="1"/>
  <c r="H54" i="7"/>
  <c r="H25" i="7"/>
  <c r="G16" i="7"/>
  <c r="H17" i="7"/>
  <c r="F15" i="7"/>
  <c r="F14" i="7" s="1"/>
  <c r="H18" i="7"/>
  <c r="F9" i="7"/>
  <c r="F8" i="7" s="1"/>
  <c r="F7" i="7" s="1"/>
  <c r="F357" i="7"/>
  <c r="G10" i="7"/>
  <c r="H11" i="7"/>
  <c r="F333" i="7"/>
  <c r="F328" i="7" s="1"/>
  <c r="F307" i="7"/>
  <c r="F293" i="7" s="1"/>
  <c r="F173" i="7"/>
  <c r="G104" i="7"/>
  <c r="F91" i="7"/>
  <c r="F90" i="7" s="1"/>
  <c r="G24" i="7"/>
  <c r="G131" i="7"/>
  <c r="G91" i="7"/>
  <c r="F231" i="7"/>
  <c r="F118" i="7"/>
  <c r="F117" i="7" s="1"/>
  <c r="F131" i="7"/>
  <c r="F130" i="7" s="1"/>
  <c r="F104" i="7"/>
  <c r="F103" i="7" s="1"/>
  <c r="F273" i="7"/>
  <c r="F272" i="7" s="1"/>
  <c r="F271" i="7" s="1"/>
  <c r="F23" i="7"/>
  <c r="F143" i="7"/>
  <c r="G26" i="13"/>
  <c r="G25" i="13"/>
  <c r="H19" i="13"/>
  <c r="G19" i="13"/>
  <c r="F19" i="13"/>
  <c r="H18" i="13"/>
  <c r="G18" i="13"/>
  <c r="F18" i="13"/>
  <c r="G173" i="7" l="1"/>
  <c r="G361" i="7" s="1"/>
  <c r="F359" i="7"/>
  <c r="D11" i="3" s="1"/>
  <c r="D12" i="3" s="1"/>
  <c r="G52" i="7"/>
  <c r="H52" i="7" s="1"/>
  <c r="F89" i="7"/>
  <c r="F360" i="7"/>
  <c r="D19" i="3" s="1"/>
  <c r="D20" i="3" s="1"/>
  <c r="F172" i="7"/>
  <c r="F171" i="7" s="1"/>
  <c r="F361" i="7"/>
  <c r="D23" i="3" s="1"/>
  <c r="D24" i="3" s="1"/>
  <c r="G218" i="7"/>
  <c r="H219" i="7"/>
  <c r="G130" i="7"/>
  <c r="H131" i="7"/>
  <c r="G90" i="7"/>
  <c r="H91" i="7"/>
  <c r="G103" i="7"/>
  <c r="H104" i="7"/>
  <c r="D28" i="3"/>
  <c r="G27" i="3"/>
  <c r="G232" i="7"/>
  <c r="H233" i="7"/>
  <c r="G267" i="7"/>
  <c r="H268" i="7"/>
  <c r="G117" i="7"/>
  <c r="H117" i="7" s="1"/>
  <c r="H118" i="7"/>
  <c r="G166" i="7"/>
  <c r="H167" i="7"/>
  <c r="G307" i="7"/>
  <c r="H307" i="7" s="1"/>
  <c r="G145" i="7"/>
  <c r="H146" i="7"/>
  <c r="G83" i="7"/>
  <c r="H83" i="7" s="1"/>
  <c r="H84" i="7"/>
  <c r="G301" i="7"/>
  <c r="H302" i="7"/>
  <c r="G78" i="7"/>
  <c r="H79" i="7"/>
  <c r="G158" i="7"/>
  <c r="H159" i="7"/>
  <c r="G329" i="7"/>
  <c r="H330" i="7"/>
  <c r="G152" i="7"/>
  <c r="H153" i="7"/>
  <c r="G185" i="7"/>
  <c r="F364" i="7"/>
  <c r="D35" i="3" s="1"/>
  <c r="D36" i="3" s="1"/>
  <c r="G272" i="7"/>
  <c r="H273" i="7"/>
  <c r="G71" i="7"/>
  <c r="H72" i="7"/>
  <c r="F22" i="7"/>
  <c r="F21" i="7" s="1"/>
  <c r="F358" i="7"/>
  <c r="D15" i="3" s="1"/>
  <c r="D16" i="3" s="1"/>
  <c r="G23" i="7"/>
  <c r="H24" i="7"/>
  <c r="G15" i="7"/>
  <c r="H16" i="7"/>
  <c r="G9" i="7"/>
  <c r="H10" i="7"/>
  <c r="G357" i="7"/>
  <c r="D7" i="3"/>
  <c r="F116" i="7"/>
  <c r="H173" i="7" l="1"/>
  <c r="G51" i="7"/>
  <c r="H51" i="7" s="1"/>
  <c r="F59" i="7"/>
  <c r="F4" i="7" s="1"/>
  <c r="G116" i="7"/>
  <c r="H116" i="7" s="1"/>
  <c r="H130" i="7"/>
  <c r="G77" i="7"/>
  <c r="H77" i="7" s="1"/>
  <c r="H78" i="7"/>
  <c r="G184" i="7"/>
  <c r="H185" i="7"/>
  <c r="G157" i="7"/>
  <c r="H157" i="7" s="1"/>
  <c r="H158" i="7"/>
  <c r="G151" i="7"/>
  <c r="H151" i="7" s="1"/>
  <c r="H152" i="7"/>
  <c r="G328" i="7"/>
  <c r="H329" i="7"/>
  <c r="G70" i="7"/>
  <c r="H71" i="7"/>
  <c r="G144" i="7"/>
  <c r="H145" i="7"/>
  <c r="H267" i="7"/>
  <c r="G365" i="7"/>
  <c r="E39" i="3" s="1"/>
  <c r="F39" i="3" s="1"/>
  <c r="H103" i="7"/>
  <c r="G360" i="7"/>
  <c r="E19" i="3" s="1"/>
  <c r="F19" i="3" s="1"/>
  <c r="G363" i="7"/>
  <c r="E31" i="3" s="1"/>
  <c r="H218" i="7"/>
  <c r="H272" i="7"/>
  <c r="G271" i="7"/>
  <c r="H271" i="7" s="1"/>
  <c r="G293" i="7"/>
  <c r="H293" i="7" s="1"/>
  <c r="H301" i="7"/>
  <c r="G165" i="7"/>
  <c r="H166" i="7"/>
  <c r="G231" i="7"/>
  <c r="H232" i="7"/>
  <c r="G89" i="7"/>
  <c r="H90" i="7"/>
  <c r="F369" i="7"/>
  <c r="G22" i="7"/>
  <c r="H23" i="7"/>
  <c r="G358" i="7"/>
  <c r="E15" i="3" s="1"/>
  <c r="F15" i="3" s="1"/>
  <c r="G14" i="7"/>
  <c r="H14" i="7" s="1"/>
  <c r="H15" i="7"/>
  <c r="E7" i="3"/>
  <c r="F7" i="3" s="1"/>
  <c r="D8" i="3"/>
  <c r="D42" i="3"/>
  <c r="D43" i="3" s="1"/>
  <c r="G8" i="7"/>
  <c r="H9" i="7"/>
  <c r="G31" i="3" l="1"/>
  <c r="F31" i="3"/>
  <c r="H70" i="7"/>
  <c r="H231" i="7"/>
  <c r="G364" i="7"/>
  <c r="E40" i="3"/>
  <c r="G39" i="3"/>
  <c r="G164" i="7"/>
  <c r="H164" i="7" s="1"/>
  <c r="H165" i="7"/>
  <c r="G362" i="7"/>
  <c r="E23" i="3" s="1"/>
  <c r="F23" i="3" s="1"/>
  <c r="H184" i="7"/>
  <c r="G172" i="7"/>
  <c r="H89" i="7"/>
  <c r="E32" i="3"/>
  <c r="H144" i="7"/>
  <c r="G143" i="7"/>
  <c r="H143" i="7" s="1"/>
  <c r="E20" i="3"/>
  <c r="G19" i="3"/>
  <c r="G15" i="3"/>
  <c r="E16" i="3"/>
  <c r="G21" i="7"/>
  <c r="H21" i="7" s="1"/>
  <c r="H22" i="7"/>
  <c r="G7" i="7"/>
  <c r="H8" i="7"/>
  <c r="G7" i="3"/>
  <c r="E8" i="3"/>
  <c r="H63" i="7" l="1"/>
  <c r="G62" i="7"/>
  <c r="K364" i="7"/>
  <c r="E35" i="3"/>
  <c r="E24" i="3"/>
  <c r="G23" i="3"/>
  <c r="G171" i="7"/>
  <c r="H172" i="7"/>
  <c r="H7" i="7"/>
  <c r="F35" i="3" l="1"/>
  <c r="G35" i="3"/>
  <c r="G61" i="7"/>
  <c r="H62" i="7"/>
  <c r="E36" i="3"/>
  <c r="J171" i="7"/>
  <c r="H171" i="7"/>
  <c r="G359" i="7" l="1"/>
  <c r="G60" i="7"/>
  <c r="H61" i="7"/>
  <c r="E11" i="3" l="1"/>
  <c r="F11" i="3" s="1"/>
  <c r="G369" i="7"/>
  <c r="H60" i="7"/>
  <c r="G59" i="7"/>
  <c r="K10" i="3"/>
  <c r="G11" i="3" l="1"/>
  <c r="E12" i="3"/>
  <c r="E42" i="3"/>
  <c r="E43" i="3" s="1"/>
  <c r="H59" i="7"/>
  <c r="G4" i="7"/>
  <c r="K34" i="3" l="1"/>
  <c r="I18" i="3" l="1"/>
  <c r="F10" i="13" l="1"/>
  <c r="G7" i="13" l="1"/>
  <c r="G13" i="13" s="1"/>
  <c r="F7" i="13"/>
  <c r="F13" i="13" s="1"/>
  <c r="K41" i="3" l="1"/>
  <c r="K14" i="3"/>
  <c r="K26" i="3"/>
  <c r="M26" i="3" s="1"/>
  <c r="K30" i="3" l="1"/>
  <c r="K18" i="3"/>
  <c r="M18" i="3" s="1"/>
  <c r="I41" i="3"/>
  <c r="M41" i="3" s="1"/>
  <c r="K38" i="3" l="1"/>
  <c r="I10" i="3" l="1"/>
  <c r="M10" i="3" s="1"/>
  <c r="I30" i="3" l="1"/>
  <c r="M30" i="3" s="1"/>
  <c r="K22" i="3" l="1"/>
  <c r="H10" i="13"/>
  <c r="I34" i="3"/>
  <c r="M34" i="3" s="1"/>
  <c r="I14" i="3" l="1"/>
  <c r="M14" i="3" s="1"/>
  <c r="I38" i="3" l="1"/>
  <c r="M38" i="3" s="1"/>
  <c r="I6" i="3"/>
  <c r="M6" i="3" s="1"/>
  <c r="I22" i="3"/>
  <c r="M22" i="3" s="1"/>
  <c r="H13" i="13"/>
</calcChain>
</file>

<file path=xl/comments1.xml><?xml version="1.0" encoding="utf-8"?>
<comments xmlns="http://schemas.openxmlformats.org/spreadsheetml/2006/main">
  <authors>
    <author>Katarina</author>
  </authors>
  <commentList>
    <comment ref="F16" authorId="0" shapeId="0">
      <text>
        <r>
          <rPr>
            <b/>
            <sz val="9"/>
            <color indexed="81"/>
            <rFont val="Segoe UI"/>
            <family val="2"/>
            <charset val="238"/>
          </rPr>
          <t>Katarina:</t>
        </r>
        <r>
          <rPr>
            <sz val="9"/>
            <color indexed="81"/>
            <rFont val="Segoe UI"/>
            <family val="2"/>
            <charset val="238"/>
          </rPr>
          <t xml:space="preserve">
F 0970
</t>
        </r>
      </text>
    </comment>
    <comment ref="G21" authorId="0" shapeId="0">
      <text>
        <r>
          <rPr>
            <b/>
            <sz val="9"/>
            <color indexed="81"/>
            <rFont val="Segoe UI"/>
            <family val="2"/>
            <charset val="238"/>
          </rPr>
          <t>Katarina:</t>
        </r>
        <r>
          <rPr>
            <sz val="9"/>
            <color indexed="81"/>
            <rFont val="Segoe UI"/>
            <family val="2"/>
            <charset val="238"/>
          </rPr>
          <t xml:space="preserve">
Limit 2023: 357.223,90 kn ;   47.411,76 EUR
</t>
        </r>
      </text>
    </comment>
    <comment ref="F59" authorId="0" shapeId="0">
      <text>
        <r>
          <rPr>
            <b/>
            <sz val="9"/>
            <color indexed="81"/>
            <rFont val="Segoe UI"/>
            <family val="2"/>
            <charset val="238"/>
          </rPr>
          <t>Katarina:</t>
        </r>
        <r>
          <rPr>
            <sz val="9"/>
            <color indexed="81"/>
            <rFont val="Segoe UI"/>
            <family val="2"/>
            <charset val="238"/>
          </rPr>
          <t xml:space="preserve">
limit:267.973,10 kn ; 35.566,14 EUR
</t>
        </r>
      </text>
    </comment>
    <comment ref="G59" authorId="0" shapeId="0">
      <text>
        <r>
          <rPr>
            <b/>
            <sz val="9"/>
            <color indexed="81"/>
            <rFont val="Segoe UI"/>
            <family val="2"/>
            <charset val="238"/>
          </rPr>
          <t>Katarina:</t>
        </r>
        <r>
          <rPr>
            <sz val="9"/>
            <color indexed="81"/>
            <rFont val="Segoe UI"/>
            <family val="2"/>
            <charset val="238"/>
          </rPr>
          <t xml:space="preserve">
limit:267.973,10 kn ; 35.566,14 EUR
</t>
        </r>
      </text>
    </comment>
    <comment ref="F70" authorId="0" shapeId="0">
      <text>
        <r>
          <rPr>
            <b/>
            <sz val="9"/>
            <color indexed="81"/>
            <rFont val="Segoe UI"/>
            <family val="2"/>
            <charset val="238"/>
          </rPr>
          <t>Katarina:</t>
        </r>
        <r>
          <rPr>
            <sz val="9"/>
            <color indexed="81"/>
            <rFont val="Segoe UI"/>
            <family val="2"/>
            <charset val="238"/>
          </rPr>
          <t xml:space="preserve">
0980 F
</t>
        </r>
      </text>
    </comment>
    <comment ref="G70" authorId="0" shapeId="0">
      <text>
        <r>
          <rPr>
            <b/>
            <sz val="9"/>
            <color indexed="81"/>
            <rFont val="Segoe UI"/>
            <family val="2"/>
            <charset val="238"/>
          </rPr>
          <t>Katarina:</t>
        </r>
        <r>
          <rPr>
            <sz val="9"/>
            <color indexed="81"/>
            <rFont val="Segoe UI"/>
            <family val="2"/>
            <charset val="238"/>
          </rPr>
          <t xml:space="preserve">
0980 F
</t>
        </r>
      </text>
    </comment>
    <comment ref="F78" authorId="0" shapeId="0">
      <text>
        <r>
          <rPr>
            <b/>
            <sz val="9"/>
            <color indexed="81"/>
            <rFont val="Segoe UI"/>
            <family val="2"/>
            <charset val="238"/>
          </rPr>
          <t>Katarina:</t>
        </r>
        <r>
          <rPr>
            <sz val="9"/>
            <color indexed="81"/>
            <rFont val="Segoe UI"/>
            <family val="2"/>
            <charset val="238"/>
          </rPr>
          <t xml:space="preserve">
0980 F</t>
        </r>
      </text>
    </comment>
    <comment ref="G78" authorId="0" shapeId="0">
      <text>
        <r>
          <rPr>
            <b/>
            <sz val="9"/>
            <color indexed="81"/>
            <rFont val="Segoe UI"/>
            <family val="2"/>
            <charset val="238"/>
          </rPr>
          <t>Katarina:</t>
        </r>
        <r>
          <rPr>
            <sz val="9"/>
            <color indexed="81"/>
            <rFont val="Segoe UI"/>
            <family val="2"/>
            <charset val="238"/>
          </rPr>
          <t xml:space="preserve">
0980 F</t>
        </r>
      </text>
    </comment>
    <comment ref="F83" authorId="0" shapeId="0">
      <text>
        <r>
          <rPr>
            <b/>
            <sz val="9"/>
            <color indexed="81"/>
            <rFont val="Segoe UI"/>
            <family val="2"/>
            <charset val="238"/>
          </rPr>
          <t>Katarina:</t>
        </r>
        <r>
          <rPr>
            <sz val="9"/>
            <color indexed="81"/>
            <rFont val="Segoe UI"/>
            <family val="2"/>
            <charset val="238"/>
          </rPr>
          <t xml:space="preserve">
F 0980
</t>
        </r>
      </text>
    </comment>
    <comment ref="G83" authorId="0" shapeId="0">
      <text>
        <r>
          <rPr>
            <b/>
            <sz val="9"/>
            <color indexed="81"/>
            <rFont val="Segoe UI"/>
            <family val="2"/>
            <charset val="238"/>
          </rPr>
          <t>Katarina:</t>
        </r>
        <r>
          <rPr>
            <sz val="9"/>
            <color indexed="81"/>
            <rFont val="Segoe UI"/>
            <family val="2"/>
            <charset val="238"/>
          </rPr>
          <t xml:space="preserve">
F 0980
</t>
        </r>
      </text>
    </comment>
    <comment ref="E89" authorId="0" shapeId="0">
      <text>
        <r>
          <rPr>
            <b/>
            <sz val="9"/>
            <color indexed="81"/>
            <rFont val="Segoe UI"/>
            <family val="2"/>
            <charset val="238"/>
          </rPr>
          <t>Katarina:</t>
        </r>
        <r>
          <rPr>
            <sz val="9"/>
            <color indexed="81"/>
            <rFont val="Segoe UI"/>
            <family val="2"/>
            <charset val="238"/>
          </rPr>
          <t xml:space="preserve">
Prsten potpore III/IV
</t>
        </r>
      </text>
    </comment>
    <comment ref="F89" authorId="0" shapeId="0">
      <text>
        <r>
          <rPr>
            <b/>
            <sz val="9"/>
            <color indexed="81"/>
            <rFont val="Segoe UI"/>
            <family val="2"/>
            <charset val="238"/>
          </rPr>
          <t>Katarina:</t>
        </r>
        <r>
          <rPr>
            <sz val="9"/>
            <color indexed="81"/>
            <rFont val="Segoe UI"/>
            <family val="2"/>
            <charset val="238"/>
          </rPr>
          <t xml:space="preserve">
F 0980
</t>
        </r>
      </text>
    </comment>
    <comment ref="G89" authorId="0" shapeId="0">
      <text>
        <r>
          <rPr>
            <b/>
            <sz val="9"/>
            <color indexed="81"/>
            <rFont val="Segoe UI"/>
            <family val="2"/>
            <charset val="238"/>
          </rPr>
          <t>Katarina:</t>
        </r>
        <r>
          <rPr>
            <sz val="9"/>
            <color indexed="81"/>
            <rFont val="Segoe UI"/>
            <family val="2"/>
            <charset val="238"/>
          </rPr>
          <t xml:space="preserve">
F 0980
</t>
        </r>
      </text>
    </comment>
    <comment ref="F171" authorId="0" shapeId="0">
      <text>
        <r>
          <rPr>
            <b/>
            <sz val="9"/>
            <color indexed="81"/>
            <rFont val="Segoe UI"/>
            <family val="2"/>
            <charset val="238"/>
          </rPr>
          <t>Katarina:</t>
        </r>
        <r>
          <rPr>
            <sz val="9"/>
            <color indexed="81"/>
            <rFont val="Segoe UI"/>
            <family val="2"/>
            <charset val="238"/>
          </rPr>
          <t xml:space="preserve">
fp 2022 VANŽUPANIJSKI: 8.217.086KN;  1.090.594,73 eur</t>
        </r>
      </text>
    </comment>
    <comment ref="A184" authorId="0" shapeId="0">
      <text>
        <r>
          <rPr>
            <b/>
            <sz val="9"/>
            <color indexed="81"/>
            <rFont val="Segoe UI"/>
            <family val="2"/>
            <charset val="238"/>
          </rPr>
          <t>Katarina:</t>
        </r>
        <r>
          <rPr>
            <sz val="9"/>
            <color indexed="81"/>
            <rFont val="Segoe UI"/>
            <family val="2"/>
            <charset val="238"/>
          </rPr>
          <t xml:space="preserve">
3.3.
</t>
        </r>
      </text>
    </comment>
  </commentList>
</comments>
</file>

<file path=xl/sharedStrings.xml><?xml version="1.0" encoding="utf-8"?>
<sst xmlns="http://schemas.openxmlformats.org/spreadsheetml/2006/main" count="931" uniqueCount="368">
  <si>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</si>
  <si>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</si>
  <si>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</si>
  <si>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</si>
  <si>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</si>
  <si>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</si>
  <si>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</si>
  <si>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</si>
  <si>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</si>
  <si>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</si>
  <si>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</si>
  <si>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Izvršenje 2021.</t>
  </si>
  <si>
    <t>Plan 2022.</t>
  </si>
  <si>
    <t>Prihodi poslovanja</t>
  </si>
  <si>
    <t>Opći prihodi i primici</t>
  </si>
  <si>
    <t>RASHODI POSLOVANJA</t>
  </si>
  <si>
    <t>Rashodi poslovanja</t>
  </si>
  <si>
    <t>Rashodi za zaposlene</t>
  </si>
  <si>
    <t>Rashodi za nabavu nefinancijske imovine</t>
  </si>
  <si>
    <t>UKUPNI RASHODI</t>
  </si>
  <si>
    <t>II. POSEBNI DIO</t>
  </si>
  <si>
    <t>Šifra</t>
  </si>
  <si>
    <t xml:space="preserve">Naziv </t>
  </si>
  <si>
    <t>Materijalni rashodi</t>
  </si>
  <si>
    <t>Vlastiti prihodi</t>
  </si>
  <si>
    <t>B) SAŽETAK RAČUNA FINANCIRANJA</t>
  </si>
  <si>
    <t>UKUPAN DONOS VIŠKA / MANJKA IZ PRETHODNE(IH) GODINE***</t>
  </si>
  <si>
    <t>Ostali prihodi za posebne namjene</t>
  </si>
  <si>
    <t>1.1.</t>
  </si>
  <si>
    <t>3.3.</t>
  </si>
  <si>
    <t>5.K.</t>
  </si>
  <si>
    <t>Kapitalni projekt K100128</t>
  </si>
  <si>
    <t>Izrada projektne dokumentacije za dogradnju škole i dvorane</t>
  </si>
  <si>
    <t>MINIMALNI STANDARD U OSNOVNOM ŠKOLSTVU- MATERIJALNI I FINANCIJSKI RASHODI-decentralizirana sredstva</t>
  </si>
  <si>
    <t>Aktivnost A100001</t>
  </si>
  <si>
    <t xml:space="preserve">Rashodi poslovanja </t>
  </si>
  <si>
    <t>Službena putovanja</t>
  </si>
  <si>
    <t>Stručno usavršavanje zaposlenika</t>
  </si>
  <si>
    <t>Uredski mater.i ost.mater.rashodi</t>
  </si>
  <si>
    <t>Energija</t>
  </si>
  <si>
    <t>Sitni inventar i auto-gume</t>
  </si>
  <si>
    <t>Služb.radna i zaštitna odjeća i obuća</t>
  </si>
  <si>
    <t>Usluge telefona,pošte i prijevoza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</si>
  <si>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</si>
  <si>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</si>
  <si>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</si>
  <si>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</si>
  <si>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</si>
  <si>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</si>
  <si>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</si>
  <si>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Reprezentacija</t>
  </si>
  <si>
    <t>Članarine</t>
  </si>
  <si>
    <t>Naknade i pristojbe</t>
  </si>
  <si>
    <t>Ostali nespomenuti rashodi poslovanja</t>
  </si>
  <si>
    <t>Bankarske usluge i usluge pl.prometa</t>
  </si>
  <si>
    <t>Aktivnost A100002</t>
  </si>
  <si>
    <t>Rashodi za materijal i energiju</t>
  </si>
  <si>
    <t>Mater.i dijelovi za tekuće i invest.održ.</t>
  </si>
  <si>
    <t>Rashodi za usluge</t>
  </si>
  <si>
    <t>Usluge tekućeg i invest.održavanja</t>
  </si>
  <si>
    <t>POJAČANI STANDARD U ŠKOLSTVU</t>
  </si>
  <si>
    <t>Tekući projekt T100003</t>
  </si>
  <si>
    <t>Naknade za rad predst.i izvršnih tijela</t>
  </si>
  <si>
    <t>Ostali nespomenuti rashodi</t>
  </si>
  <si>
    <t>Tekući projekt T100006</t>
  </si>
  <si>
    <t>Plaće za redovan rad</t>
  </si>
  <si>
    <t>Ostali rashodi za zaposlene</t>
  </si>
  <si>
    <t>Doprinosi na plaće</t>
  </si>
  <si>
    <t>Doprinosi za obvezno zdr.osiguranje</t>
  </si>
  <si>
    <t>Naknade troškova zaposlenima</t>
  </si>
  <si>
    <t>Naknade za prijevoz, rad na terenu</t>
  </si>
  <si>
    <t>KAPITALNO ULAGANJE</t>
  </si>
  <si>
    <t>OPREMA ŠKOLA</t>
  </si>
  <si>
    <t xml:space="preserve">Tekući projekt T100002 </t>
  </si>
  <si>
    <t>TEKUĆE I INVESTICIJSKO ODRŽAVANJE U ŠKOLSTVU</t>
  </si>
  <si>
    <t>PROGRAMI OSNOVNIH ŠKOLA IZVAN ŽUPANIJSKOG PRORAČUNA</t>
  </si>
  <si>
    <t>Sitan inventar</t>
  </si>
  <si>
    <t>Usluge tekućeg i investicisjkog održavanja</t>
  </si>
  <si>
    <t>Premije osiguranja</t>
  </si>
  <si>
    <t>Financijski rashodi</t>
  </si>
  <si>
    <t>Bankarske usluge i usluge platbog promet</t>
  </si>
  <si>
    <t>Zatezne kamate</t>
  </si>
  <si>
    <t>Tekuće donacije u novcu</t>
  </si>
  <si>
    <t>Rashodi za nabavu proizvedene dugotrajne  imovine</t>
  </si>
  <si>
    <t>Postrojenja i oprema</t>
  </si>
  <si>
    <t>Uredska oprema i namještaj</t>
  </si>
  <si>
    <t>Oprema za održavanje i zaštitu</t>
  </si>
  <si>
    <t>Uređaji, strojevi i oprema za ost.namjene</t>
  </si>
  <si>
    <t>Knjige u knjižnicama</t>
  </si>
  <si>
    <t>Doprinosi za obv.osig.u slučaju nezaposlenosti</t>
  </si>
  <si>
    <t>Naknada za nezapošlj.invalida</t>
  </si>
  <si>
    <t>Troškovi sudskih postupaka</t>
  </si>
  <si>
    <t>Ostali financijski rashodi</t>
  </si>
  <si>
    <t>Materijal i sirovine</t>
  </si>
  <si>
    <t>Uređaji, strojevi i oprema za ostale namjene</t>
  </si>
  <si>
    <t>Tekući projekt T100020</t>
  </si>
  <si>
    <t>Uredski mater.i ost.mater.ras.-udžben.</t>
  </si>
  <si>
    <t>Knjige i udžbenici</t>
  </si>
  <si>
    <t>Aktivnost A10001</t>
  </si>
  <si>
    <t>Izvor financiranja 4.1.</t>
  </si>
  <si>
    <t>Decentralizirana sredstva OŠ</t>
  </si>
  <si>
    <t>PROGRAM 1001</t>
  </si>
  <si>
    <t>Aktivnost A10002</t>
  </si>
  <si>
    <t>Tekuće i investicijsko održavanje</t>
  </si>
  <si>
    <t>Županijska stručna vijeća</t>
  </si>
  <si>
    <t>Izvor financiranja 1.1.</t>
  </si>
  <si>
    <t>Natjecanja</t>
  </si>
  <si>
    <t>Ostale izvanškolske aktivnosti</t>
  </si>
  <si>
    <t>Tekući projekt T100054</t>
  </si>
  <si>
    <t>Prsten potpore V</t>
  </si>
  <si>
    <t>Minist. znanosti, obrazov. i sporta-ESF.</t>
  </si>
  <si>
    <t>E-tehničar</t>
  </si>
  <si>
    <t>Tekući projekt T100041</t>
  </si>
  <si>
    <t>Izvor financiranja 3.3.</t>
  </si>
  <si>
    <t>POTICANJE KORIŠTENJA SREDSTAVA IZ FONDOVA EU</t>
  </si>
  <si>
    <t>Tekući projekt T 100011</t>
  </si>
  <si>
    <t>Školska shema voća, povrća te mlijeka i mliječnih proizvoda</t>
  </si>
  <si>
    <t>Izvor financiranja 5.Đ.</t>
  </si>
  <si>
    <t>Ministarstvo poljoprivrede</t>
  </si>
  <si>
    <t>Naknade građanima i kućanstvima u naravi</t>
  </si>
  <si>
    <t>Izvor financiranja 3.7.</t>
  </si>
  <si>
    <t>Vlastiti prihodi-višak prihoda</t>
  </si>
  <si>
    <t>Izvor financiranja 4.L.</t>
  </si>
  <si>
    <t>Prihodi za posebne namjene</t>
  </si>
  <si>
    <t>Izvor financiranja 5.K.</t>
  </si>
  <si>
    <t>Pomoći</t>
  </si>
  <si>
    <t>Donacije</t>
  </si>
  <si>
    <t>Administrativno, tehničko i stručno osoblje</t>
  </si>
  <si>
    <t>Školska kuhinja</t>
  </si>
  <si>
    <t>Nabava udžbenika za učenike</t>
  </si>
  <si>
    <t>4.1.</t>
  </si>
  <si>
    <t>Decentralizirana sredstva</t>
  </si>
  <si>
    <t>3.7.</t>
  </si>
  <si>
    <t>4.L.</t>
  </si>
  <si>
    <t>Naknade kućanstvima</t>
  </si>
  <si>
    <t>Dugotrajna imovina</t>
  </si>
  <si>
    <t>5.Đ.</t>
  </si>
  <si>
    <t>UP</t>
  </si>
  <si>
    <t>UR</t>
  </si>
  <si>
    <t>Višak prihoda-Pomoći</t>
  </si>
  <si>
    <t>3431</t>
  </si>
  <si>
    <t>3293</t>
  </si>
  <si>
    <t>3291</t>
  </si>
  <si>
    <t>3299</t>
  </si>
  <si>
    <t>3111</t>
  </si>
  <si>
    <t>3121</t>
  </si>
  <si>
    <t>3132</t>
  </si>
  <si>
    <t>3211</t>
  </si>
  <si>
    <t>3212</t>
  </si>
  <si>
    <t>3238</t>
  </si>
  <si>
    <t>3224</t>
  </si>
  <si>
    <t>3232</t>
  </si>
  <si>
    <t>3433</t>
  </si>
  <si>
    <t>4221</t>
  </si>
  <si>
    <t>4223</t>
  </si>
  <si>
    <t>4227</t>
  </si>
  <si>
    <t>4241</t>
  </si>
  <si>
    <t>3292</t>
  </si>
  <si>
    <t>Zdravstvene i veterinarske usluge (covid)</t>
  </si>
  <si>
    <t>3236</t>
  </si>
  <si>
    <t>3133</t>
  </si>
  <si>
    <t>3295</t>
  </si>
  <si>
    <t>3296</t>
  </si>
  <si>
    <t>3221</t>
  </si>
  <si>
    <t>3222</t>
  </si>
  <si>
    <t>3225</t>
  </si>
  <si>
    <t>Izvor financiranja 5.D.</t>
  </si>
  <si>
    <t xml:space="preserve">Zdravstvene i veterinarske usluge </t>
  </si>
  <si>
    <t>3</t>
  </si>
  <si>
    <t>31</t>
  </si>
  <si>
    <t>311</t>
  </si>
  <si>
    <t>312</t>
  </si>
  <si>
    <t>313</t>
  </si>
  <si>
    <t>32</t>
  </si>
  <si>
    <t>321</t>
  </si>
  <si>
    <t>329</t>
  </si>
  <si>
    <t>3213</t>
  </si>
  <si>
    <t>322</t>
  </si>
  <si>
    <t>3223</t>
  </si>
  <si>
    <t>3227</t>
  </si>
  <si>
    <t>Službena, radna i zaštitna odjeća i obuća</t>
  </si>
  <si>
    <t>323</t>
  </si>
  <si>
    <t>3231</t>
  </si>
  <si>
    <t>3234</t>
  </si>
  <si>
    <t>3237</t>
  </si>
  <si>
    <t>3239</t>
  </si>
  <si>
    <t>34</t>
  </si>
  <si>
    <t>343</t>
  </si>
  <si>
    <t>3233</t>
  </si>
  <si>
    <t>3235</t>
  </si>
  <si>
    <t>37</t>
  </si>
  <si>
    <t>372</t>
  </si>
  <si>
    <t>3722</t>
  </si>
  <si>
    <t>Usluge tekućeg i investicijskog održavanja</t>
  </si>
  <si>
    <t>4</t>
  </si>
  <si>
    <t>42</t>
  </si>
  <si>
    <t>Rashodi za nabavu proizvedene dugotrajne imovine</t>
  </si>
  <si>
    <t>421</t>
  </si>
  <si>
    <t>4212</t>
  </si>
  <si>
    <t>45</t>
  </si>
  <si>
    <t>451</t>
  </si>
  <si>
    <t>Dodatna ulaganja na građevinskim objektima</t>
  </si>
  <si>
    <t>4511</t>
  </si>
  <si>
    <t>5.T.</t>
  </si>
  <si>
    <t>422</t>
  </si>
  <si>
    <t>424</t>
  </si>
  <si>
    <t>Knjige</t>
  </si>
  <si>
    <t>DONACIJE</t>
  </si>
  <si>
    <t>6.3.</t>
  </si>
  <si>
    <t>Prsten potpore IV</t>
  </si>
  <si>
    <t>Tekući projekt T100047</t>
  </si>
  <si>
    <t>PROGRAM 1002</t>
  </si>
  <si>
    <t>Tekući projekt T00001</t>
  </si>
  <si>
    <t>Tekući projekt T00002</t>
  </si>
  <si>
    <t>PROGRAM 1003</t>
  </si>
  <si>
    <t>Aktivnost A 100001</t>
  </si>
  <si>
    <t>Tekuće i investicijsko održavanje u školstvu</t>
  </si>
  <si>
    <t>Dodatna ulaganja</t>
  </si>
  <si>
    <t>Izvor financiranja 6.3.</t>
  </si>
  <si>
    <t>VIŠAK 3.7. i 5.D.</t>
  </si>
  <si>
    <t>UKUPNO KLASA:</t>
  </si>
  <si>
    <t>UKUPNO IZVORI FINANCIRANJA:</t>
  </si>
  <si>
    <t>Izvor financiranja 5.T.</t>
  </si>
  <si>
    <t>Voditelj računovodstva:</t>
  </si>
  <si>
    <t>Ravnatelj:</t>
  </si>
  <si>
    <t>Predsjednik Školskog odbora:</t>
  </si>
  <si>
    <t>Katarina Bečić Mutvar</t>
  </si>
  <si>
    <t>Mileo Todić</t>
  </si>
  <si>
    <t>Romana Orlić</t>
  </si>
  <si>
    <t>Izvršenje 2022.</t>
  </si>
  <si>
    <t>Tekući plan 2022.</t>
  </si>
  <si>
    <t>Izvršenje plana 2022.</t>
  </si>
  <si>
    <t>Indeks 4/3*100</t>
  </si>
  <si>
    <t xml:space="preserve">IZVRŠENJE RASHODA I IZDATAKA PO EKONONOMSKOJ I PROGRAMSKOJ KLASIFIKACIJI I IZVORIMA FINANCIRANJA </t>
  </si>
  <si>
    <t>Strojevi za ostale namjene-kuhinja</t>
  </si>
  <si>
    <t>Tekući projekt T00015</t>
  </si>
  <si>
    <t>Nabava pribora za školsku kuhinju</t>
  </si>
  <si>
    <t>Rashodi za tekuće i investicijsko održavanje</t>
  </si>
  <si>
    <t>Izvor financiranja 3.3.(3.7)</t>
  </si>
  <si>
    <t xml:space="preserve">Knjige </t>
  </si>
  <si>
    <t xml:space="preserve">ukupno </t>
  </si>
  <si>
    <t>RASHODI</t>
  </si>
  <si>
    <t>RASHODI ZA ZAPOSLENE</t>
  </si>
  <si>
    <t>PLAĆE (BRUTO)</t>
  </si>
  <si>
    <t>PLAĆE-BRUTO- ZA REDOVAN RAD</t>
  </si>
  <si>
    <t>OSTALI RASHODI ZA ZAPOSLENE</t>
  </si>
  <si>
    <t>DOPRINOSI NA PLAĆE</t>
  </si>
  <si>
    <t>DOPRINOSI ZA ZDRAVSTVENO OSIGURANJE</t>
  </si>
  <si>
    <t>DOPRINOSI ZA ZAPOŠLJAVANJE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</si>
  <si>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</si>
  <si>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</si>
  <si>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</si>
  <si>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</si>
  <si>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</si>
  <si>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</si>
  <si>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</si>
  <si>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</si>
  <si>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</si>
  <si>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</si>
  <si>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</si>
  <si>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 ODJEĆA I OBUĆA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</si>
  <si>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</si>
  <si>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</si>
  <si>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</si>
  <si>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</si>
  <si>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</si>
  <si>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NAJMANINE</t>
  </si>
  <si>
    <t>ZDRAVSTVENE I VETERINARSKE USLUGE</t>
  </si>
  <si>
    <t>INTELEKTUALNE I OSOBNE USLUGE</t>
  </si>
  <si>
    <t>RAČUNALNE USLUGE</t>
  </si>
  <si>
    <t>OSTALE USLUGE</t>
  </si>
  <si>
    <t>OSTALI NESPOMENUTI RASHODI POSLOVANJA</t>
  </si>
  <si>
    <t>PREMIJE OSIGURANJA</t>
  </si>
  <si>
    <t>REPREZENTACIJA</t>
  </si>
  <si>
    <t>PRISTOJBE I NAKNADE</t>
  </si>
  <si>
    <t>TROŠKOVI SUDSKIH POSTUPAKA</t>
  </si>
  <si>
    <t>OSTALI FINANCIJSKI RASHODI</t>
  </si>
  <si>
    <t>BANKARSKE USLUGE I USLUGE PLATNOG PROMETA</t>
  </si>
  <si>
    <t>ZATEZNE KAMATE</t>
  </si>
  <si>
    <t>NAKNADE GRAĐANIMA I KUĆANSTVIMA NA TEMELJU OSIGURANJA I DRUGE NAKNADE</t>
  </si>
  <si>
    <t>OSTALE NAKNADE GRAĐANIMA I KUĆANSTVIMA IZ PRORAČUNA</t>
  </si>
  <si>
    <t>NAKNADE GRAĐANIMA I KUĆANSTVIMA U NARAVI</t>
  </si>
  <si>
    <t>RASHODI ZA NABAVU PROIZVEDENE DUGOTRAJNE IMOVINE</t>
  </si>
  <si>
    <t>GRAĐEVINSKI OBJEKTI</t>
  </si>
  <si>
    <t>POSLOVNI OBJEKTI</t>
  </si>
  <si>
    <t>POSTROJENJA I OPREMA</t>
  </si>
  <si>
    <t>UREDSKA OPREMA I NAMJEŠTAJ</t>
  </si>
  <si>
    <t>UREĐAJI, STROJEVI I OPREMA ZA OSTALE NAMJENE</t>
  </si>
  <si>
    <t>KNJIGE, UMJETNIČKA DJELA</t>
  </si>
  <si>
    <t>KNJIGE</t>
  </si>
  <si>
    <t>RASHODI ZA DODATNA ULAGANJA NA NEFINANCIJSKOJ IMOVINI</t>
  </si>
  <si>
    <t>DODATNA ULAGANJA NA GRAĐEVINSKIM OBJEKTIMA</t>
  </si>
  <si>
    <t>6</t>
  </si>
  <si>
    <t>63</t>
  </si>
  <si>
    <t>POMOĆI IZ INOZEMSTVA I OD SUBJEKATA UNUTAR OPĆEG PRORAČUNA</t>
  </si>
  <si>
    <t>636</t>
  </si>
  <si>
    <t>POMOĆI PRORAČUNSKIM KORISNICIMA IZ PRORAČUNA KOJI IME NIJE NADLEŽAN</t>
  </si>
  <si>
    <t>6361</t>
  </si>
  <si>
    <t>TEKUĆE POMOĆI PRORAČUNSKIM KORISNICIMA IZ PRORAČUNA KOJI IME NIJE NADLEŽAN</t>
  </si>
  <si>
    <t>6362</t>
  </si>
  <si>
    <t>KAPITALNE POMOĆI PRORAČUNSKIM KORISNICIMA IZ PRORAČUNA KOJI IME NIJE NADLEŽAN</t>
  </si>
  <si>
    <t>64</t>
  </si>
  <si>
    <t>PRIHODI OD IMOVINE</t>
  </si>
  <si>
    <t>641</t>
  </si>
  <si>
    <t>PRIHODI OD FINANCIJSKE IMOVINE</t>
  </si>
  <si>
    <t>6413</t>
  </si>
  <si>
    <t>KAMATE NA OROČENA SREDSTVA I DEPOZITE PO VIĐENJU</t>
  </si>
  <si>
    <t>65</t>
  </si>
  <si>
    <t>PRIHODI OD UPRAVNIH I ADMINISTRATIVNIH PRISTOJBI, PRISTOJBI PO POSEBNIM PROPISIMA I NAKNADA</t>
  </si>
  <si>
    <t>652</t>
  </si>
  <si>
    <t>PRIHODI PO POSEBNIM PROPISIMA</t>
  </si>
  <si>
    <t>6526</t>
  </si>
  <si>
    <t>OSTALI NESPOMENUTI PRIHODI</t>
  </si>
  <si>
    <t>66</t>
  </si>
  <si>
    <t>PRIHODI OPD PRODAJE PROIZVODA, ROBA I USLUGA TE PRIHODI OD DONACIJA I POVRATI PROTEST.JAMSTAVA</t>
  </si>
  <si>
    <t>661</t>
  </si>
  <si>
    <t>PRIHODI OPD PRODAJE PROIZVODA, ROBA I USLUGA</t>
  </si>
  <si>
    <t>6615</t>
  </si>
  <si>
    <t>PRIHODI OD PRUŽENIH USLUGA</t>
  </si>
  <si>
    <t>663</t>
  </si>
  <si>
    <t>DONACIJE OD PRAVNIH I FIZIČKIH OSOBA IZVAN OPĆEG PRORAČUNA</t>
  </si>
  <si>
    <t>6631</t>
  </si>
  <si>
    <t>TEKUĆE DONACIJE</t>
  </si>
  <si>
    <t>67</t>
  </si>
  <si>
    <t>PRIHODI IZ NADLEŽNOG PRORAČUNA I OD HZZO TEMELJEM UGOVORNIH OBVEZA</t>
  </si>
  <si>
    <t>671</t>
  </si>
  <si>
    <t>PRIHODI IZ NADLEŽNOG PRORAČUNA ZA FINANCIRANJE REDOVNE DJELATNOSTI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</si>
  <si>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</si>
  <si>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</si>
  <si>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</si>
  <si>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</si>
  <si>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>Konto</t>
  </si>
  <si>
    <t>IZVRŠENJE 2021</t>
  </si>
  <si>
    <t>IZVORNI PLAN 2022</t>
  </si>
  <si>
    <t>IZVRŠENJE 2022</t>
  </si>
  <si>
    <t>INDEKS 5/3*100</t>
  </si>
  <si>
    <t>INDEKS 5/4*100</t>
  </si>
  <si>
    <t>OPĆI DIO</t>
  </si>
  <si>
    <t>IZVRŠENJE RASHODA PO EKONOMSKOJ KLASIFIKACIJI</t>
  </si>
  <si>
    <t>IZVRŠENJE PRIHODA PO EKONOMSKOJ KLASIFIKACIJI</t>
  </si>
  <si>
    <t>Višak prihoda</t>
  </si>
  <si>
    <t>UKUPNI PRIHODI</t>
  </si>
  <si>
    <t>IZVRŠENJE PRIHODA I RASHODA PREMA IZVORIMA FINANCIRANJA</t>
  </si>
  <si>
    <t>Brojčana oznaka i naziv izvora financiranja</t>
  </si>
  <si>
    <t>Razlika</t>
  </si>
  <si>
    <t>Izvorni plan 2022.</t>
  </si>
  <si>
    <t>Vlastiti prihodi-višak</t>
  </si>
  <si>
    <t>UKUPNO  PRIHODI</t>
  </si>
  <si>
    <t>UKUPNO RASHODI</t>
  </si>
  <si>
    <t>PRENESENI VIŠAK/MANJAK PRIHODA</t>
  </si>
  <si>
    <t>Indeks 4/2</t>
  </si>
  <si>
    <t>Indeks 4/3</t>
  </si>
  <si>
    <t>NAKNADE ZA RAD PREDS.TIJELA</t>
  </si>
  <si>
    <t>ČLANARINE</t>
  </si>
  <si>
    <t>-</t>
  </si>
  <si>
    <t>GODIŠNJI IZVJEŠTAJ O IZVRŠENJU FINANCIJSKOG PLANA ZA 2022.GODINU</t>
  </si>
  <si>
    <t>I.OPĆI DIO</t>
  </si>
  <si>
    <t>A) SAŽETAK IZVRŠENJA PO RAČUNU PRIHODA I RASHODA</t>
  </si>
  <si>
    <t>C) PRENESENI VIŠAK ILI PRENESENI MANJAK (rezultat na 922)</t>
  </si>
  <si>
    <t>Bruto plaće</t>
  </si>
  <si>
    <t>Ostali rashodi zazaposlene</t>
  </si>
  <si>
    <t>Dodatna ulaganja na grđ.objektima</t>
  </si>
  <si>
    <t>Dodatna ulaganja na nefinanc. imovini</t>
  </si>
  <si>
    <t>PRIHODI OD PRODAJE PROIZVODA</t>
  </si>
  <si>
    <t>STAMBEBI OBJEKTI</t>
  </si>
  <si>
    <t>PRIHODI OD PRODAJE NEPROIZV.DUGOTR. NEFINANCIJSKE IMOVINE</t>
  </si>
  <si>
    <t>PRIHODI OD PRODAJE GRAĐEVINSKIH OBJEKATA</t>
  </si>
  <si>
    <t>VIŠAK / MANJAK IZ PRETHODNE(IH) GODINE KOJI SE POTROŠIO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</si>
</sst>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rgb="FF00000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sz val="11"/>
      <color rgb="FF000000"/>
      <name val="Calibri"/>
      <family val="2"/>
      <scheme val="minor"/>
    </font>
    <font>
      <sz val="8"/>
      <color indexed="8"/>
      <name val="Arial"/>
      <family val="2"/>
      <charset val="238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4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sz val="11"/>
      <color rgb="FF0070C0"/>
      <name val="Calibri"/>
      <family val="2"/>
      <charset val="238"/>
      <scheme val="minor"/>
    </font>
    <font>
      <sz val="10"/>
      <color rgb="FF0070C0"/>
      <name val="Arial"/>
      <family val="2"/>
      <charset val="238"/>
    </font>
    <font>
      <b/>
      <sz val="11"/>
      <color rgb="FF0070C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i/>
      <sz val="10"/>
      <color theme="6" tint="-0.249977111117893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1C1FF"/>
        <bgColor rgb="FFC1C1FF"/>
      </patternFill>
    </fill>
    <fill>
      <patternFill patternType="solid">
        <fgColor rgb="FFE1E1FF"/>
        <bgColor rgb="FFE1E1FF"/>
      </patternFill>
    </fill>
    <fill>
      <patternFill patternType="solid">
        <fgColor rgb="FFCCC0DA"/>
        <bgColor rgb="FF000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rgb="FFC1C1FF"/>
      </patternFill>
    </fill>
    <fill>
      <patternFill patternType="solid">
        <fgColor theme="9" tint="-0.249977111117893"/>
        <bgColor rgb="FFC1C1FF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rgb="FFC1C1FF"/>
      </patternFill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3" fillId="0" borderId="0"/>
  </cellStyleXfs>
  <cellXfs count="232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4" borderId="1" xfId="0" quotePrefix="1" applyNumberFormat="1" applyFont="1" applyFill="1" applyBorder="1" applyAlignment="1">
      <alignment horizontal="right"/>
    </xf>
    <xf numFmtId="3" fontId="6" fillId="3" borderId="1" xfId="0" quotePrefix="1" applyNumberFormat="1" applyFont="1" applyFill="1" applyBorder="1" applyAlignment="1">
      <alignment horizontal="right"/>
    </xf>
    <xf numFmtId="0" fontId="11" fillId="3" borderId="1" xfId="0" applyFont="1" applyFill="1" applyBorder="1" applyAlignment="1">
      <alignment horizontal="left" vertical="center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15" fillId="6" borderId="3" xfId="0" applyFont="1" applyFill="1" applyBorder="1" applyAlignment="1">
      <alignment horizontal="left" vertical="center" wrapText="1" readingOrder="1"/>
    </xf>
    <xf numFmtId="4" fontId="15" fillId="6" borderId="3" xfId="0" applyNumberFormat="1" applyFont="1" applyFill="1" applyBorder="1" applyAlignment="1">
      <alignment horizontal="right" vertical="center" wrapText="1" readingOrder="1"/>
    </xf>
    <xf numFmtId="0" fontId="17" fillId="0" borderId="3" xfId="0" applyNumberFormat="1" applyFont="1" applyFill="1" applyBorder="1" applyAlignment="1" applyProtection="1">
      <alignment wrapText="1"/>
    </xf>
    <xf numFmtId="0" fontId="18" fillId="0" borderId="3" xfId="0" applyNumberFormat="1" applyFont="1" applyFill="1" applyBorder="1" applyAlignment="1" applyProtection="1">
      <alignment wrapText="1"/>
    </xf>
    <xf numFmtId="0" fontId="21" fillId="0" borderId="3" xfId="0" applyNumberFormat="1" applyFont="1" applyFill="1" applyBorder="1" applyAlignment="1" applyProtection="1">
      <alignment wrapText="1"/>
    </xf>
    <xf numFmtId="4" fontId="3" fillId="2" borderId="3" xfId="0" applyNumberFormat="1" applyFont="1" applyFill="1" applyBorder="1" applyAlignment="1">
      <alignment horizontal="right"/>
    </xf>
    <xf numFmtId="0" fontId="17" fillId="9" borderId="0" xfId="0" applyNumberFormat="1" applyFont="1" applyFill="1" applyBorder="1" applyAlignment="1" applyProtection="1"/>
    <xf numFmtId="0" fontId="18" fillId="7" borderId="3" xfId="0" applyFont="1" applyFill="1" applyBorder="1" applyAlignment="1">
      <alignment horizontal="left" vertical="center" wrapText="1" readingOrder="1"/>
    </xf>
    <xf numFmtId="0" fontId="3" fillId="4" borderId="4" xfId="0" applyNumberFormat="1" applyFont="1" applyFill="1" applyBorder="1" applyAlignment="1" applyProtection="1">
      <alignment horizontal="left" vertical="center" wrapText="1"/>
    </xf>
    <xf numFmtId="4" fontId="3" fillId="4" borderId="3" xfId="0" applyNumberFormat="1" applyFont="1" applyFill="1" applyBorder="1" applyAlignment="1">
      <alignment horizontal="right"/>
    </xf>
    <xf numFmtId="4" fontId="18" fillId="7" borderId="3" xfId="0" applyNumberFormat="1" applyFont="1" applyFill="1" applyBorder="1" applyAlignment="1">
      <alignment horizontal="right" vertical="center" wrapText="1" readingOrder="1"/>
    </xf>
    <xf numFmtId="4" fontId="22" fillId="8" borderId="3" xfId="0" applyNumberFormat="1" applyFont="1" applyFill="1" applyBorder="1" applyAlignment="1" applyProtection="1"/>
    <xf numFmtId="0" fontId="15" fillId="11" borderId="3" xfId="0" applyFont="1" applyFill="1" applyBorder="1" applyAlignment="1">
      <alignment horizontal="left" vertical="center" wrapText="1" readingOrder="1"/>
    </xf>
    <xf numFmtId="4" fontId="20" fillId="6" borderId="3" xfId="0" applyNumberFormat="1" applyFont="1" applyFill="1" applyBorder="1" applyAlignment="1">
      <alignment horizontal="right" vertical="center" wrapText="1" readingOrder="1"/>
    </xf>
    <xf numFmtId="0" fontId="15" fillId="10" borderId="3" xfId="0" applyFont="1" applyFill="1" applyBorder="1" applyAlignment="1">
      <alignment horizontal="left" vertical="center" wrapText="1" readingOrder="1"/>
    </xf>
    <xf numFmtId="4" fontId="15" fillId="10" borderId="3" xfId="0" applyNumberFormat="1" applyFont="1" applyFill="1" applyBorder="1" applyAlignment="1">
      <alignment horizontal="right" vertical="center" wrapText="1" readingOrder="1"/>
    </xf>
    <xf numFmtId="4" fontId="15" fillId="11" borderId="3" xfId="0" applyNumberFormat="1" applyFont="1" applyFill="1" applyBorder="1" applyAlignment="1">
      <alignment horizontal="right" vertical="center" wrapText="1" readingOrder="1"/>
    </xf>
    <xf numFmtId="4" fontId="0" fillId="0" borderId="0" xfId="0" applyNumberFormat="1"/>
    <xf numFmtId="0" fontId="3" fillId="4" borderId="4" xfId="0" applyNumberFormat="1" applyFont="1" applyFill="1" applyBorder="1" applyAlignment="1" applyProtection="1">
      <alignment horizontal="left" vertical="center" wrapText="1"/>
    </xf>
    <xf numFmtId="0" fontId="3" fillId="4" borderId="4" xfId="0" applyNumberFormat="1" applyFont="1" applyFill="1" applyBorder="1" applyAlignment="1" applyProtection="1">
      <alignment horizontal="left" vertical="center" wrapText="1"/>
    </xf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4" fontId="6" fillId="4" borderId="3" xfId="0" applyNumberFormat="1" applyFont="1" applyFill="1" applyBorder="1" applyAlignment="1" applyProtection="1">
      <alignment horizontal="center" vertical="center" wrapText="1"/>
    </xf>
    <xf numFmtId="4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4" fontId="6" fillId="3" borderId="3" xfId="0" applyNumberFormat="1" applyFont="1" applyFill="1" applyBorder="1" applyAlignment="1" applyProtection="1">
      <alignment horizontal="right" wrapText="1"/>
    </xf>
    <xf numFmtId="4" fontId="6" fillId="4" borderId="1" xfId="0" quotePrefix="1" applyNumberFormat="1" applyFont="1" applyFill="1" applyBorder="1" applyAlignment="1">
      <alignment horizontal="right"/>
    </xf>
    <xf numFmtId="4" fontId="6" fillId="3" borderId="1" xfId="0" quotePrefix="1" applyNumberFormat="1" applyFont="1" applyFill="1" applyBorder="1" applyAlignment="1">
      <alignment horizontal="right"/>
    </xf>
    <xf numFmtId="0" fontId="3" fillId="4" borderId="4" xfId="0" applyNumberFormat="1" applyFont="1" applyFill="1" applyBorder="1" applyAlignment="1" applyProtection="1">
      <alignment horizontal="left" vertical="center" wrapText="1"/>
    </xf>
    <xf numFmtId="0" fontId="0" fillId="0" borderId="0" xfId="0" applyFill="1"/>
    <xf numFmtId="4" fontId="6" fillId="2" borderId="3" xfId="0" applyNumberFormat="1" applyFont="1" applyFill="1" applyBorder="1" applyAlignment="1">
      <alignment horizontal="right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49" fontId="3" fillId="2" borderId="1" xfId="0" applyNumberFormat="1" applyFont="1" applyFill="1" applyBorder="1" applyAlignment="1" applyProtection="1">
      <alignment horizontal="left" vertical="center" wrapText="1" indent="1"/>
    </xf>
    <xf numFmtId="49" fontId="3" fillId="2" borderId="2" xfId="0" applyNumberFormat="1" applyFont="1" applyFill="1" applyBorder="1" applyAlignment="1" applyProtection="1">
      <alignment horizontal="left" vertical="center" wrapText="1" indent="1"/>
    </xf>
    <xf numFmtId="49" fontId="3" fillId="2" borderId="4" xfId="0" applyNumberFormat="1" applyFont="1" applyFill="1" applyBorder="1" applyAlignment="1" applyProtection="1">
      <alignment horizontal="left" vertical="center" wrapText="1" indent="1"/>
    </xf>
    <xf numFmtId="0" fontId="9" fillId="0" borderId="3" xfId="0" applyNumberFormat="1" applyFont="1" applyFill="1" applyBorder="1" applyAlignment="1" applyProtection="1">
      <alignment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49" fontId="3" fillId="2" borderId="2" xfId="0" applyNumberFormat="1" applyFont="1" applyFill="1" applyBorder="1" applyAlignment="1" applyProtection="1">
      <alignment vertical="center" wrapText="1"/>
    </xf>
    <xf numFmtId="49" fontId="3" fillId="2" borderId="4" xfId="0" applyNumberFormat="1" applyFont="1" applyFill="1" applyBorder="1" applyAlignment="1" applyProtection="1">
      <alignment vertical="center" wrapText="1"/>
    </xf>
    <xf numFmtId="0" fontId="3" fillId="4" borderId="4" xfId="0" applyNumberFormat="1" applyFont="1" applyFill="1" applyBorder="1" applyAlignment="1" applyProtection="1">
      <alignment horizontal="left" vertical="center" wrapText="1"/>
    </xf>
    <xf numFmtId="4" fontId="24" fillId="0" borderId="0" xfId="0" applyNumberFormat="1" applyFont="1" applyFill="1" applyBorder="1" applyAlignment="1" applyProtection="1">
      <alignment horizontal="center" vertical="center" wrapText="1"/>
    </xf>
    <xf numFmtId="4" fontId="6" fillId="2" borderId="4" xfId="0" applyNumberFormat="1" applyFont="1" applyFill="1" applyBorder="1" applyAlignment="1">
      <alignment horizontal="right"/>
    </xf>
    <xf numFmtId="4" fontId="3" fillId="4" borderId="4" xfId="0" applyNumberFormat="1" applyFont="1" applyFill="1" applyBorder="1" applyAlignment="1">
      <alignment horizontal="right"/>
    </xf>
    <xf numFmtId="0" fontId="9" fillId="3" borderId="2" xfId="0" applyNumberFormat="1" applyFont="1" applyFill="1" applyBorder="1" applyAlignment="1" applyProtection="1">
      <alignment vertical="center"/>
    </xf>
    <xf numFmtId="0" fontId="3" fillId="12" borderId="0" xfId="0" applyNumberFormat="1" applyFont="1" applyFill="1" applyBorder="1" applyAlignment="1" applyProtection="1">
      <alignment horizontal="center" vertical="center" wrapText="1"/>
    </xf>
    <xf numFmtId="0" fontId="0" fillId="13" borderId="0" xfId="0" applyFill="1"/>
    <xf numFmtId="4" fontId="0" fillId="13" borderId="0" xfId="0" applyNumberFormat="1" applyFill="1"/>
    <xf numFmtId="49" fontId="3" fillId="2" borderId="2" xfId="0" applyNumberFormat="1" applyFont="1" applyFill="1" applyBorder="1" applyAlignment="1" applyProtection="1">
      <alignment horizontal="left" vertical="center" wrapText="1" indent="1"/>
    </xf>
    <xf numFmtId="49" fontId="3" fillId="2" borderId="4" xfId="0" applyNumberFormat="1" applyFont="1" applyFill="1" applyBorder="1" applyAlignment="1" applyProtection="1">
      <alignment horizontal="left" vertical="center" wrapText="1" indent="1"/>
    </xf>
    <xf numFmtId="0" fontId="3" fillId="4" borderId="4" xfId="0" applyNumberFormat="1" applyFont="1" applyFill="1" applyBorder="1" applyAlignment="1" applyProtection="1">
      <alignment horizontal="left" vertical="center" wrapText="1"/>
    </xf>
    <xf numFmtId="49" fontId="3" fillId="2" borderId="1" xfId="0" applyNumberFormat="1" applyFont="1" applyFill="1" applyBorder="1" applyAlignment="1" applyProtection="1">
      <alignment horizontal="left" vertical="center" wrapText="1" indent="1"/>
    </xf>
    <xf numFmtId="49" fontId="3" fillId="2" borderId="2" xfId="0" applyNumberFormat="1" applyFont="1" applyFill="1" applyBorder="1" applyAlignment="1" applyProtection="1">
      <alignment horizontal="left" vertical="center" wrapText="1" indent="1"/>
    </xf>
    <xf numFmtId="49" fontId="3" fillId="2" borderId="4" xfId="0" applyNumberFormat="1" applyFont="1" applyFill="1" applyBorder="1" applyAlignment="1" applyProtection="1">
      <alignment horizontal="left" vertical="center" wrapText="1" indent="1"/>
    </xf>
    <xf numFmtId="0" fontId="15" fillId="15" borderId="3" xfId="0" applyFont="1" applyFill="1" applyBorder="1" applyAlignment="1">
      <alignment horizontal="center" vertical="center" wrapText="1" readingOrder="1"/>
    </xf>
    <xf numFmtId="0" fontId="28" fillId="0" borderId="0" xfId="0" applyNumberFormat="1" applyFont="1" applyFill="1" applyBorder="1" applyAlignment="1" applyProtection="1">
      <alignment horizontal="center" vertical="center" wrapText="1"/>
    </xf>
    <xf numFmtId="4" fontId="29" fillId="0" borderId="0" xfId="0" applyNumberFormat="1" applyFont="1" applyFill="1" applyBorder="1" applyAlignment="1" applyProtection="1">
      <alignment horizontal="center" vertical="center" wrapText="1"/>
    </xf>
    <xf numFmtId="0" fontId="19" fillId="4" borderId="4" xfId="0" applyNumberFormat="1" applyFont="1" applyFill="1" applyBorder="1" applyAlignment="1" applyProtection="1">
      <alignment horizontal="center" vertical="center" wrapText="1"/>
    </xf>
    <xf numFmtId="4" fontId="20" fillId="15" borderId="3" xfId="0" applyNumberFormat="1" applyFont="1" applyFill="1" applyBorder="1" applyAlignment="1">
      <alignment horizontal="center" vertical="center" wrapText="1" readingOrder="1"/>
    </xf>
    <xf numFmtId="4" fontId="20" fillId="10" borderId="3" xfId="0" applyNumberFormat="1" applyFont="1" applyFill="1" applyBorder="1" applyAlignment="1">
      <alignment horizontal="right" vertical="center" wrapText="1" readingOrder="1"/>
    </xf>
    <xf numFmtId="4" fontId="19" fillId="7" borderId="3" xfId="0" applyNumberFormat="1" applyFont="1" applyFill="1" applyBorder="1" applyAlignment="1">
      <alignment horizontal="right" vertical="center" wrapText="1" readingOrder="1"/>
    </xf>
    <xf numFmtId="4" fontId="30" fillId="8" borderId="3" xfId="0" applyNumberFormat="1" applyFont="1" applyFill="1" applyBorder="1" applyAlignment="1" applyProtection="1"/>
    <xf numFmtId="4" fontId="16" fillId="4" borderId="3" xfId="0" applyNumberFormat="1" applyFont="1" applyFill="1" applyBorder="1" applyAlignment="1">
      <alignment horizontal="right"/>
    </xf>
    <xf numFmtId="4" fontId="19" fillId="2" borderId="3" xfId="0" applyNumberFormat="1" applyFont="1" applyFill="1" applyBorder="1" applyAlignment="1">
      <alignment horizontal="right"/>
    </xf>
    <xf numFmtId="4" fontId="16" fillId="2" borderId="4" xfId="0" applyNumberFormat="1" applyFont="1" applyFill="1" applyBorder="1" applyAlignment="1">
      <alignment horizontal="right"/>
    </xf>
    <xf numFmtId="4" fontId="19" fillId="2" borderId="4" xfId="0" applyNumberFormat="1" applyFont="1" applyFill="1" applyBorder="1" applyAlignment="1">
      <alignment horizontal="right"/>
    </xf>
    <xf numFmtId="4" fontId="20" fillId="11" borderId="3" xfId="0" applyNumberFormat="1" applyFont="1" applyFill="1" applyBorder="1" applyAlignment="1">
      <alignment horizontal="right" vertical="center" wrapText="1" readingOrder="1"/>
    </xf>
    <xf numFmtId="4" fontId="16" fillId="4" borderId="4" xfId="0" applyNumberFormat="1" applyFont="1" applyFill="1" applyBorder="1" applyAlignment="1">
      <alignment horizontal="right"/>
    </xf>
    <xf numFmtId="0" fontId="27" fillId="0" borderId="0" xfId="0" applyFont="1"/>
    <xf numFmtId="4" fontId="27" fillId="0" borderId="0" xfId="0" applyNumberFormat="1" applyFont="1"/>
    <xf numFmtId="4" fontId="27" fillId="13" borderId="0" xfId="0" applyNumberFormat="1" applyFont="1" applyFill="1"/>
    <xf numFmtId="4" fontId="31" fillId="0" borderId="0" xfId="0" applyNumberFormat="1" applyFont="1"/>
    <xf numFmtId="4" fontId="3" fillId="2" borderId="6" xfId="0" applyNumberFormat="1" applyFont="1" applyFill="1" applyBorder="1" applyAlignment="1">
      <alignment horizontal="right"/>
    </xf>
    <xf numFmtId="4" fontId="32" fillId="2" borderId="6" xfId="0" applyNumberFormat="1" applyFont="1" applyFill="1" applyBorder="1" applyAlignment="1">
      <alignment horizontal="right"/>
    </xf>
    <xf numFmtId="4" fontId="31" fillId="5" borderId="0" xfId="0" applyNumberFormat="1" applyFont="1" applyFill="1"/>
    <xf numFmtId="0" fontId="31" fillId="0" borderId="0" xfId="0" applyFont="1"/>
    <xf numFmtId="4" fontId="16" fillId="2" borderId="3" xfId="0" applyNumberFormat="1" applyFont="1" applyFill="1" applyBorder="1" applyAlignment="1">
      <alignment horizontal="right"/>
    </xf>
    <xf numFmtId="4" fontId="9" fillId="2" borderId="3" xfId="0" applyNumberFormat="1" applyFont="1" applyFill="1" applyBorder="1" applyAlignment="1">
      <alignment horizontal="right"/>
    </xf>
    <xf numFmtId="4" fontId="11" fillId="2" borderId="3" xfId="0" applyNumberFormat="1" applyFont="1" applyFill="1" applyBorder="1" applyAlignment="1">
      <alignment horizontal="right"/>
    </xf>
    <xf numFmtId="4" fontId="11" fillId="7" borderId="3" xfId="0" applyNumberFormat="1" applyFont="1" applyFill="1" applyBorder="1" applyAlignment="1">
      <alignment horizontal="right" vertical="center" wrapText="1" readingOrder="1"/>
    </xf>
    <xf numFmtId="4" fontId="10" fillId="8" borderId="3" xfId="0" applyNumberFormat="1" applyFont="1" applyFill="1" applyBorder="1" applyAlignment="1" applyProtection="1"/>
    <xf numFmtId="4" fontId="9" fillId="4" borderId="3" xfId="0" applyNumberFormat="1" applyFont="1" applyFill="1" applyBorder="1" applyAlignment="1">
      <alignment horizontal="right"/>
    </xf>
    <xf numFmtId="4" fontId="33" fillId="13" borderId="0" xfId="0" applyNumberFormat="1" applyFont="1" applyFill="1"/>
    <xf numFmtId="4" fontId="31" fillId="0" borderId="0" xfId="0" applyNumberFormat="1" applyFont="1" applyFill="1"/>
    <xf numFmtId="0" fontId="0" fillId="0" borderId="0" xfId="0" applyAlignment="1">
      <alignment horizontal="center"/>
    </xf>
    <xf numFmtId="4" fontId="0" fillId="0" borderId="0" xfId="0" applyNumberFormat="1" applyFill="1"/>
    <xf numFmtId="0" fontId="0" fillId="4" borderId="0" xfId="0" applyFill="1"/>
    <xf numFmtId="4" fontId="0" fillId="4" borderId="0" xfId="0" applyNumberFormat="1" applyFill="1"/>
    <xf numFmtId="0" fontId="1" fillId="14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0" borderId="0" xfId="0" applyFont="1"/>
    <xf numFmtId="0" fontId="14" fillId="14" borderId="0" xfId="0" applyFont="1" applyFill="1" applyAlignment="1">
      <alignment horizontal="center"/>
    </xf>
    <xf numFmtId="0" fontId="14" fillId="4" borderId="0" xfId="0" applyFont="1" applyFill="1" applyAlignment="1">
      <alignment horizontal="center"/>
    </xf>
    <xf numFmtId="0" fontId="13" fillId="0" borderId="0" xfId="0" applyFont="1"/>
    <xf numFmtId="4" fontId="13" fillId="0" borderId="0" xfId="0" applyNumberFormat="1" applyFont="1"/>
    <xf numFmtId="0" fontId="14" fillId="14" borderId="0" xfId="0" applyFont="1" applyFill="1" applyAlignment="1">
      <alignment horizontal="center" wrapText="1"/>
    </xf>
    <xf numFmtId="0" fontId="1" fillId="13" borderId="0" xfId="0" applyFont="1" applyFill="1" applyAlignment="1">
      <alignment horizontal="center"/>
    </xf>
    <xf numFmtId="0" fontId="14" fillId="13" borderId="0" xfId="0" applyFont="1" applyFill="1" applyAlignment="1">
      <alignment horizontal="left"/>
    </xf>
    <xf numFmtId="4" fontId="14" fillId="13" borderId="0" xfId="0" applyNumberFormat="1" applyFont="1" applyFill="1" applyAlignment="1">
      <alignment horizontal="center"/>
    </xf>
    <xf numFmtId="4" fontId="14" fillId="13" borderId="0" xfId="0" applyNumberFormat="1" applyFont="1" applyFill="1" applyAlignment="1">
      <alignment horizontal="right"/>
    </xf>
    <xf numFmtId="4" fontId="0" fillId="4" borderId="0" xfId="0" applyNumberFormat="1" applyFont="1" applyFill="1"/>
    <xf numFmtId="0" fontId="36" fillId="4" borderId="3" xfId="0" quotePrefix="1" applyFont="1" applyFill="1" applyBorder="1" applyAlignment="1">
      <alignment horizontal="left" vertical="center"/>
    </xf>
    <xf numFmtId="4" fontId="37" fillId="4" borderId="3" xfId="0" applyNumberFormat="1" applyFont="1" applyFill="1" applyBorder="1" applyAlignment="1">
      <alignment horizontal="right"/>
    </xf>
    <xf numFmtId="0" fontId="34" fillId="0" borderId="3" xfId="0" applyNumberFormat="1" applyFont="1" applyFill="1" applyBorder="1" applyAlignment="1" applyProtection="1">
      <alignment horizontal="left" vertical="center" wrapText="1"/>
    </xf>
    <xf numFmtId="0" fontId="38" fillId="0" borderId="3" xfId="0" applyNumberFormat="1" applyFont="1" applyFill="1" applyBorder="1" applyAlignment="1" applyProtection="1">
      <alignment horizontal="left" vertical="center" wrapText="1"/>
    </xf>
    <xf numFmtId="4" fontId="39" fillId="0" borderId="3" xfId="0" applyNumberFormat="1" applyFont="1" applyFill="1" applyBorder="1" applyAlignment="1">
      <alignment horizontal="right"/>
    </xf>
    <xf numFmtId="0" fontId="36" fillId="16" borderId="3" xfId="0" quotePrefix="1" applyFont="1" applyFill="1" applyBorder="1" applyAlignment="1">
      <alignment horizontal="left" vertical="center"/>
    </xf>
    <xf numFmtId="0" fontId="36" fillId="16" borderId="3" xfId="0" applyNumberFormat="1" applyFont="1" applyFill="1" applyBorder="1" applyAlignment="1" applyProtection="1">
      <alignment horizontal="left" vertical="center" wrapText="1"/>
    </xf>
    <xf numFmtId="4" fontId="0" fillId="16" borderId="0" xfId="0" applyNumberFormat="1" applyFont="1" applyFill="1"/>
    <xf numFmtId="4" fontId="37" fillId="16" borderId="3" xfId="0" applyNumberFormat="1" applyFont="1" applyFill="1" applyBorder="1" applyAlignment="1">
      <alignment horizontal="right"/>
    </xf>
    <xf numFmtId="0" fontId="0" fillId="16" borderId="0" xfId="0" applyFill="1"/>
    <xf numFmtId="4" fontId="0" fillId="16" borderId="0" xfId="0" applyNumberFormat="1" applyFill="1"/>
    <xf numFmtId="0" fontId="34" fillId="16" borderId="3" xfId="0" applyNumberFormat="1" applyFont="1" applyFill="1" applyBorder="1" applyAlignment="1" applyProtection="1">
      <alignment horizontal="left" vertical="center" wrapText="1"/>
    </xf>
    <xf numFmtId="4" fontId="35" fillId="16" borderId="3" xfId="0" applyNumberFormat="1" applyFont="1" applyFill="1" applyBorder="1" applyAlignment="1">
      <alignment horizontal="right"/>
    </xf>
    <xf numFmtId="3" fontId="37" fillId="16" borderId="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4" fontId="14" fillId="14" borderId="0" xfId="0" applyNumberFormat="1" applyFont="1" applyFill="1" applyAlignment="1">
      <alignment horizontal="center" wrapText="1"/>
    </xf>
    <xf numFmtId="0" fontId="1" fillId="17" borderId="0" xfId="0" applyFont="1" applyFill="1"/>
    <xf numFmtId="0" fontId="14" fillId="17" borderId="0" xfId="0" applyFont="1" applyFill="1"/>
    <xf numFmtId="4" fontId="14" fillId="17" borderId="0" xfId="0" applyNumberFormat="1" applyFont="1" applyFill="1"/>
    <xf numFmtId="0" fontId="1" fillId="16" borderId="0" xfId="0" applyFont="1" applyFill="1"/>
    <xf numFmtId="0" fontId="14" fillId="16" borderId="0" xfId="0" applyFont="1" applyFill="1"/>
    <xf numFmtId="4" fontId="14" fillId="16" borderId="0" xfId="0" applyNumberFormat="1" applyFont="1" applyFill="1"/>
    <xf numFmtId="0" fontId="1" fillId="18" borderId="0" xfId="0" applyFont="1" applyFill="1"/>
    <xf numFmtId="0" fontId="14" fillId="18" borderId="0" xfId="0" applyFont="1" applyFill="1"/>
    <xf numFmtId="4" fontId="14" fillId="18" borderId="0" xfId="0" applyNumberFormat="1" applyFont="1" applyFill="1"/>
    <xf numFmtId="2" fontId="14" fillId="13" borderId="0" xfId="0" applyNumberFormat="1" applyFont="1" applyFill="1" applyAlignment="1">
      <alignment horizontal="center"/>
    </xf>
    <xf numFmtId="2" fontId="14" fillId="17" borderId="0" xfId="0" applyNumberFormat="1" applyFont="1" applyFill="1"/>
    <xf numFmtId="2" fontId="14" fillId="16" borderId="0" xfId="0" applyNumberFormat="1" applyFont="1" applyFill="1"/>
    <xf numFmtId="2" fontId="14" fillId="18" borderId="0" xfId="0" applyNumberFormat="1" applyFont="1" applyFill="1"/>
    <xf numFmtId="0" fontId="1" fillId="17" borderId="0" xfId="0" applyFont="1" applyFill="1" applyAlignment="1">
      <alignment horizontal="left"/>
    </xf>
    <xf numFmtId="0" fontId="1" fillId="16" borderId="0" xfId="0" applyFont="1" applyFill="1" applyAlignment="1">
      <alignment horizontal="left"/>
    </xf>
    <xf numFmtId="2" fontId="13" fillId="0" borderId="0" xfId="0" applyNumberFormat="1" applyFont="1"/>
    <xf numFmtId="0" fontId="13" fillId="0" borderId="0" xfId="0" applyFont="1" applyAlignment="1">
      <alignment horizontal="right"/>
    </xf>
    <xf numFmtId="2" fontId="14" fillId="17" borderId="0" xfId="0" applyNumberFormat="1" applyFont="1" applyFill="1" applyAlignment="1">
      <alignment horizontal="right"/>
    </xf>
    <xf numFmtId="2" fontId="14" fillId="16" borderId="0" xfId="0" applyNumberFormat="1" applyFont="1" applyFill="1" applyAlignment="1">
      <alignment horizontal="right"/>
    </xf>
    <xf numFmtId="0" fontId="40" fillId="0" borderId="4" xfId="0" applyNumberFormat="1" applyFont="1" applyFill="1" applyBorder="1" applyAlignment="1" applyProtection="1">
      <alignment horizontal="left" vertical="center" wrapText="1"/>
    </xf>
    <xf numFmtId="4" fontId="40" fillId="0" borderId="4" xfId="0" applyNumberFormat="1" applyFont="1" applyFill="1" applyBorder="1" applyAlignment="1">
      <alignment horizontal="right"/>
    </xf>
    <xf numFmtId="4" fontId="40" fillId="0" borderId="3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1" fillId="18" borderId="0" xfId="0" applyFont="1" applyFill="1" applyAlignment="1">
      <alignment horizontal="left"/>
    </xf>
    <xf numFmtId="0" fontId="0" fillId="0" borderId="0" xfId="0" applyAlignment="1">
      <alignment horizontal="right"/>
    </xf>
    <xf numFmtId="2" fontId="14" fillId="14" borderId="0" xfId="0" applyNumberFormat="1" applyFont="1" applyFill="1" applyAlignment="1">
      <alignment horizontal="center" wrapText="1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wrapText="1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4" borderId="2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9" fillId="0" borderId="2" xfId="0" applyNumberFormat="1" applyFont="1" applyFill="1" applyBorder="1" applyAlignment="1" applyProtection="1">
      <alignment vertical="center"/>
    </xf>
    <xf numFmtId="0" fontId="11" fillId="0" borderId="1" xfId="0" quotePrefix="1" applyFont="1" applyFill="1" applyBorder="1" applyAlignment="1">
      <alignment horizontal="left" vertical="center"/>
    </xf>
    <xf numFmtId="0" fontId="11" fillId="0" borderId="1" xfId="0" quotePrefix="1" applyFont="1" applyBorder="1" applyAlignment="1">
      <alignment horizontal="left" vertical="center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1" fillId="0" borderId="0" xfId="0" applyFont="1" applyAlignment="1">
      <alignment horizontal="center"/>
    </xf>
    <xf numFmtId="0" fontId="12" fillId="0" borderId="0" xfId="0" applyFont="1" applyAlignment="1">
      <alignment vertical="center" wrapText="1"/>
    </xf>
    <xf numFmtId="0" fontId="6" fillId="4" borderId="2" xfId="0" applyNumberFormat="1" applyFont="1" applyFill="1" applyBorder="1" applyAlignment="1" applyProtection="1">
      <alignment horizontal="center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36" fillId="16" borderId="1" xfId="0" quotePrefix="1" applyFont="1" applyFill="1" applyBorder="1" applyAlignment="1">
      <alignment horizontal="center" vertical="center"/>
    </xf>
    <xf numFmtId="0" fontId="36" fillId="16" borderId="4" xfId="0" quotePrefix="1" applyFont="1" applyFill="1" applyBorder="1" applyAlignment="1">
      <alignment horizontal="center" vertical="center"/>
    </xf>
    <xf numFmtId="49" fontId="40" fillId="0" borderId="1" xfId="0" applyNumberFormat="1" applyFont="1" applyFill="1" applyBorder="1" applyAlignment="1" applyProtection="1">
      <alignment horizontal="left" vertical="center" wrapText="1" indent="1"/>
    </xf>
    <xf numFmtId="49" fontId="40" fillId="0" borderId="2" xfId="0" applyNumberFormat="1" applyFont="1" applyFill="1" applyBorder="1" applyAlignment="1" applyProtection="1">
      <alignment horizontal="left" vertical="center" wrapText="1" indent="1"/>
    </xf>
    <xf numFmtId="49" fontId="40" fillId="0" borderId="4" xfId="0" applyNumberFormat="1" applyFont="1" applyFill="1" applyBorder="1" applyAlignment="1" applyProtection="1">
      <alignment horizontal="left" vertical="center" wrapText="1" indent="1"/>
    </xf>
    <xf numFmtId="4" fontId="22" fillId="8" borderId="1" xfId="0" applyNumberFormat="1" applyFont="1" applyFill="1" applyBorder="1" applyAlignment="1" applyProtection="1">
      <alignment horizontal="left"/>
    </xf>
    <xf numFmtId="4" fontId="22" fillId="8" borderId="2" xfId="0" applyNumberFormat="1" applyFont="1" applyFill="1" applyBorder="1" applyAlignment="1" applyProtection="1">
      <alignment horizontal="left"/>
    </xf>
    <xf numFmtId="4" fontId="22" fillId="8" borderId="4" xfId="0" applyNumberFormat="1" applyFont="1" applyFill="1" applyBorder="1" applyAlignment="1" applyProtection="1">
      <alignment horizontal="left"/>
    </xf>
    <xf numFmtId="0" fontId="3" fillId="4" borderId="1" xfId="0" applyNumberFormat="1" applyFont="1" applyFill="1" applyBorder="1" applyAlignment="1" applyProtection="1">
      <alignment horizontal="left" vertical="center" wrapText="1"/>
    </xf>
    <xf numFmtId="0" fontId="3" fillId="4" borderId="2" xfId="0" applyNumberFormat="1" applyFont="1" applyFill="1" applyBorder="1" applyAlignment="1" applyProtection="1">
      <alignment horizontal="left" vertical="center" wrapText="1"/>
    </xf>
    <xf numFmtId="0" fontId="3" fillId="4" borderId="4" xfId="0" applyNumberFormat="1" applyFont="1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 indent="1"/>
    </xf>
    <xf numFmtId="0" fontId="6" fillId="2" borderId="2" xfId="0" applyNumberFormat="1" applyFont="1" applyFill="1" applyBorder="1" applyAlignment="1" applyProtection="1">
      <alignment horizontal="left" vertical="center" wrapText="1" indent="1"/>
    </xf>
    <xf numFmtId="0" fontId="6" fillId="2" borderId="4" xfId="0" applyNumberFormat="1" applyFont="1" applyFill="1" applyBorder="1" applyAlignment="1" applyProtection="1">
      <alignment horizontal="left" vertical="center" wrapText="1" indent="1"/>
    </xf>
    <xf numFmtId="49" fontId="3" fillId="2" borderId="1" xfId="0" applyNumberFormat="1" applyFont="1" applyFill="1" applyBorder="1" applyAlignment="1" applyProtection="1">
      <alignment horizontal="left" vertical="center" wrapText="1" indent="1"/>
    </xf>
    <xf numFmtId="49" fontId="3" fillId="2" borderId="2" xfId="0" applyNumberFormat="1" applyFont="1" applyFill="1" applyBorder="1" applyAlignment="1" applyProtection="1">
      <alignment horizontal="left" vertical="center" wrapText="1" indent="1"/>
    </xf>
    <xf numFmtId="49" fontId="3" fillId="2" borderId="4" xfId="0" applyNumberFormat="1" applyFont="1" applyFill="1" applyBorder="1" applyAlignment="1" applyProtection="1">
      <alignment horizontal="left" vertical="center" wrapText="1" indent="1"/>
    </xf>
    <xf numFmtId="0" fontId="15" fillId="15" borderId="1" xfId="0" applyFont="1" applyFill="1" applyBorder="1" applyAlignment="1">
      <alignment horizontal="center" vertical="center" wrapText="1" readingOrder="1"/>
    </xf>
    <xf numFmtId="0" fontId="15" fillId="15" borderId="2" xfId="0" applyFont="1" applyFill="1" applyBorder="1" applyAlignment="1">
      <alignment horizontal="center" vertical="center" wrapText="1" readingOrder="1"/>
    </xf>
    <xf numFmtId="0" fontId="15" fillId="15" borderId="4" xfId="0" applyFont="1" applyFill="1" applyBorder="1" applyAlignment="1">
      <alignment horizontal="center" vertical="center" wrapText="1" readingOrder="1"/>
    </xf>
    <xf numFmtId="0" fontId="18" fillId="7" borderId="1" xfId="0" applyFont="1" applyFill="1" applyBorder="1" applyAlignment="1">
      <alignment horizontal="left" vertical="center" wrapText="1" readingOrder="1"/>
    </xf>
    <xf numFmtId="0" fontId="18" fillId="7" borderId="2" xfId="0" applyFont="1" applyFill="1" applyBorder="1" applyAlignment="1">
      <alignment horizontal="left" vertical="center" wrapText="1" readingOrder="1"/>
    </xf>
    <xf numFmtId="0" fontId="18" fillId="7" borderId="4" xfId="0" applyFont="1" applyFill="1" applyBorder="1" applyAlignment="1">
      <alignment horizontal="left" vertical="center" wrapText="1" readingOrder="1"/>
    </xf>
    <xf numFmtId="0" fontId="15" fillId="11" borderId="1" xfId="0" applyFont="1" applyFill="1" applyBorder="1" applyAlignment="1">
      <alignment horizontal="center" vertical="center" wrapText="1" readingOrder="1"/>
    </xf>
    <xf numFmtId="0" fontId="15" fillId="11" borderId="2" xfId="0" applyFont="1" applyFill="1" applyBorder="1" applyAlignment="1">
      <alignment horizontal="center" vertical="center" wrapText="1" readingOrder="1"/>
    </xf>
    <xf numFmtId="0" fontId="15" fillId="11" borderId="4" xfId="0" applyFont="1" applyFill="1" applyBorder="1" applyAlignment="1">
      <alignment horizontal="center" vertical="center" wrapText="1" readingOrder="1"/>
    </xf>
    <xf numFmtId="0" fontId="15" fillId="6" borderId="1" xfId="0" applyFont="1" applyFill="1" applyBorder="1" applyAlignment="1">
      <alignment horizontal="center" vertical="center" wrapText="1" readingOrder="1"/>
    </xf>
    <xf numFmtId="0" fontId="15" fillId="6" borderId="2" xfId="0" applyFont="1" applyFill="1" applyBorder="1" applyAlignment="1">
      <alignment horizontal="center" vertical="center" wrapText="1" readingOrder="1"/>
    </xf>
    <xf numFmtId="0" fontId="15" fillId="6" borderId="4" xfId="0" applyFont="1" applyFill="1" applyBorder="1" applyAlignment="1">
      <alignment horizontal="center" vertical="center" wrapText="1" readingOrder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 vertical="center" wrapText="1" readingOrder="1"/>
    </xf>
    <xf numFmtId="0" fontId="15" fillId="10" borderId="2" xfId="0" applyFont="1" applyFill="1" applyBorder="1" applyAlignment="1">
      <alignment horizontal="center" vertical="center" wrapText="1" readingOrder="1"/>
    </xf>
    <xf numFmtId="0" fontId="15" fillId="10" borderId="4" xfId="0" applyFont="1" applyFill="1" applyBorder="1" applyAlignment="1">
      <alignment horizontal="center" vertical="center" wrapText="1" readingOrder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</cellXfs>
  <cellStyles count="2">
    <cellStyle name="Normal" xfId="1"/>
    <cellStyle name="Normalno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view="pageBreakPreview" zoomScaleNormal="100" zoomScaleSheetLayoutView="100" workbookViewId="0">
      <selection activeCell="E28" sqref="E28"/>
    </sheetView>
  </sheetViews>
  <sheetFormatPr defaultRowHeight="15" x14ac:dyDescent="0.25"/>
  <cols>
    <col min="5" max="8" width="25.28515625" customWidth="1"/>
  </cols>
  <sheetData>
    <row r="1" spans="1:9" ht="42" customHeight="1" x14ac:dyDescent="0.25">
      <c r="A1" s="172" t="s">
        <v>355</v>
      </c>
      <c r="B1" s="172"/>
      <c r="C1" s="172"/>
      <c r="D1" s="172"/>
      <c r="E1" s="172"/>
      <c r="F1" s="172"/>
      <c r="G1" s="172"/>
      <c r="H1" s="172"/>
      <c r="I1">
        <v>7.5345000000000004</v>
      </c>
    </row>
    <row r="2" spans="1:9" ht="15.75" x14ac:dyDescent="0.25">
      <c r="A2" s="172" t="s">
        <v>356</v>
      </c>
      <c r="B2" s="172"/>
      <c r="C2" s="172"/>
      <c r="D2" s="172"/>
      <c r="E2" s="172"/>
      <c r="F2" s="172"/>
      <c r="G2" s="172"/>
      <c r="H2" s="172"/>
    </row>
    <row r="3" spans="1:9" ht="18" x14ac:dyDescent="0.25">
      <c r="A3" s="16"/>
      <c r="B3" s="16"/>
      <c r="C3" s="16"/>
      <c r="D3" s="16"/>
      <c r="E3" s="16"/>
      <c r="F3" s="16"/>
      <c r="G3" s="16"/>
      <c r="H3" s="16"/>
    </row>
    <row r="4" spans="1:9" ht="18" customHeight="1" x14ac:dyDescent="0.25">
      <c r="A4" s="172" t="s">
        <v>357</v>
      </c>
      <c r="B4" s="173"/>
      <c r="C4" s="173"/>
      <c r="D4" s="173"/>
      <c r="E4" s="173"/>
      <c r="F4" s="173"/>
      <c r="G4" s="173"/>
      <c r="H4" s="173"/>
    </row>
    <row r="5" spans="1:9" ht="18" x14ac:dyDescent="0.25">
      <c r="A5" s="1"/>
      <c r="B5" s="2"/>
      <c r="C5" s="2"/>
      <c r="D5" s="2"/>
      <c r="E5" s="6"/>
      <c r="F5" s="7"/>
      <c r="G5" s="7"/>
      <c r="H5" s="7"/>
    </row>
    <row r="6" spans="1:9" x14ac:dyDescent="0.25">
      <c r="A6" s="17"/>
      <c r="B6" s="18"/>
      <c r="C6" s="18"/>
      <c r="D6" s="19"/>
      <c r="E6" s="20"/>
      <c r="F6" s="3" t="s">
        <v>11</v>
      </c>
      <c r="G6" s="3" t="s">
        <v>345</v>
      </c>
      <c r="H6" s="3" t="s">
        <v>229</v>
      </c>
    </row>
    <row r="7" spans="1:9" x14ac:dyDescent="0.25">
      <c r="A7" s="183" t="s">
        <v>0</v>
      </c>
      <c r="B7" s="171"/>
      <c r="C7" s="171"/>
      <c r="D7" s="171"/>
      <c r="E7" s="184"/>
      <c r="F7" s="50">
        <f t="shared" ref="F7:H7" si="0">SUM(F8:F9)</f>
        <v>9993990.8100000005</v>
      </c>
      <c r="G7" s="50">
        <f t="shared" si="0"/>
        <v>9922920</v>
      </c>
      <c r="H7" s="50">
        <f t="shared" si="0"/>
        <v>10620420.960000001</v>
      </c>
    </row>
    <row r="8" spans="1:9" x14ac:dyDescent="0.25">
      <c r="A8" s="182" t="s">
        <v>1</v>
      </c>
      <c r="B8" s="181"/>
      <c r="C8" s="181"/>
      <c r="D8" s="181"/>
      <c r="E8" s="185"/>
      <c r="F8" s="51">
        <f>'Prihodi-ekonom.klasif'!C6</f>
        <v>9988183.2100000009</v>
      </c>
      <c r="G8" s="51">
        <f>'Prihodi-ekonom.klasif'!D6</f>
        <v>9922920</v>
      </c>
      <c r="H8" s="51">
        <f>'Prihodi-ekonom.klasif'!E6</f>
        <v>10620420.960000001</v>
      </c>
    </row>
    <row r="9" spans="1:9" x14ac:dyDescent="0.25">
      <c r="A9" s="186" t="s">
        <v>2</v>
      </c>
      <c r="B9" s="185"/>
      <c r="C9" s="185"/>
      <c r="D9" s="185"/>
      <c r="E9" s="185"/>
      <c r="F9" s="51">
        <f>'Prihodi-ekonom.klasif'!C27</f>
        <v>5807.6</v>
      </c>
      <c r="G9" s="51">
        <v>0</v>
      </c>
      <c r="H9" s="51">
        <v>0</v>
      </c>
    </row>
    <row r="10" spans="1:9" x14ac:dyDescent="0.25">
      <c r="A10" s="25" t="s">
        <v>3</v>
      </c>
      <c r="B10" s="71"/>
      <c r="C10" s="71"/>
      <c r="D10" s="71"/>
      <c r="E10" s="71"/>
      <c r="F10" s="50">
        <f t="shared" ref="F10" si="1">SUM(F11:F12)</f>
        <v>9988428.6500000004</v>
      </c>
      <c r="G10" s="50">
        <f>G11+G12</f>
        <v>9959420.1199999992</v>
      </c>
      <c r="H10" s="50">
        <f>SUM(H11:H12)</f>
        <v>10644841.470000001</v>
      </c>
    </row>
    <row r="11" spans="1:9" x14ac:dyDescent="0.25">
      <c r="A11" s="180" t="s">
        <v>4</v>
      </c>
      <c r="B11" s="181"/>
      <c r="C11" s="181"/>
      <c r="D11" s="181"/>
      <c r="E11" s="181"/>
      <c r="F11" s="51">
        <f>'Rash-ekonom.klasif'!C6</f>
        <v>9673765.5999999996</v>
      </c>
      <c r="G11" s="51">
        <f>'Rash-ekonom.klasif'!D6</f>
        <v>9254910.9299999997</v>
      </c>
      <c r="H11" s="51">
        <f>'Rash-ekonom.klasif'!E6</f>
        <v>9962784.9100000001</v>
      </c>
    </row>
    <row r="12" spans="1:9" x14ac:dyDescent="0.25">
      <c r="A12" s="187" t="s">
        <v>5</v>
      </c>
      <c r="B12" s="185"/>
      <c r="C12" s="185"/>
      <c r="D12" s="185"/>
      <c r="E12" s="185"/>
      <c r="F12" s="52">
        <f>'Rash-ekonom.klasif'!C55</f>
        <v>314663.05</v>
      </c>
      <c r="G12" s="52">
        <f>'Rash-ekonom.klasif'!D55</f>
        <v>704509.19</v>
      </c>
      <c r="H12" s="52">
        <f>'Rash-ekonom.klasif'!E55</f>
        <v>682056.56</v>
      </c>
    </row>
    <row r="13" spans="1:9" x14ac:dyDescent="0.25">
      <c r="A13" s="170" t="s">
        <v>6</v>
      </c>
      <c r="B13" s="171"/>
      <c r="C13" s="171"/>
      <c r="D13" s="171"/>
      <c r="E13" s="171"/>
      <c r="F13" s="53">
        <f t="shared" ref="F13:G13" si="2">F7-F10</f>
        <v>5562.160000000149</v>
      </c>
      <c r="G13" s="53">
        <f t="shared" si="2"/>
        <v>-36500.11999999918</v>
      </c>
      <c r="H13" s="53">
        <f>H7-H10</f>
        <v>-24420.509999999776</v>
      </c>
    </row>
    <row r="14" spans="1:9" ht="18" x14ac:dyDescent="0.25">
      <c r="A14" s="16"/>
      <c r="B14" s="14"/>
      <c r="C14" s="14"/>
      <c r="D14" s="14"/>
      <c r="E14" s="14"/>
      <c r="F14" s="14"/>
      <c r="G14" s="14"/>
      <c r="H14" s="15"/>
    </row>
    <row r="15" spans="1:9" ht="18" customHeight="1" x14ac:dyDescent="0.25">
      <c r="A15" s="172" t="s">
        <v>25</v>
      </c>
      <c r="B15" s="173"/>
      <c r="C15" s="173"/>
      <c r="D15" s="173"/>
      <c r="E15" s="173"/>
      <c r="F15" s="173"/>
      <c r="G15" s="173"/>
      <c r="H15" s="173"/>
    </row>
    <row r="16" spans="1:9" ht="18" x14ac:dyDescent="0.25">
      <c r="A16" s="16"/>
      <c r="B16" s="14"/>
      <c r="C16" s="14"/>
      <c r="D16" s="14"/>
      <c r="E16" s="14"/>
      <c r="F16" s="14"/>
      <c r="G16" s="14"/>
      <c r="H16" s="15"/>
    </row>
    <row r="17" spans="1:8" x14ac:dyDescent="0.25">
      <c r="A17" s="17"/>
      <c r="B17" s="18"/>
      <c r="C17" s="18"/>
      <c r="D17" s="19"/>
      <c r="E17" s="20"/>
      <c r="F17" s="3" t="s">
        <v>11</v>
      </c>
      <c r="G17" s="3" t="s">
        <v>12</v>
      </c>
      <c r="H17" s="3" t="s">
        <v>229</v>
      </c>
    </row>
    <row r="18" spans="1:8" ht="15.75" customHeight="1" x14ac:dyDescent="0.25">
      <c r="A18" s="182" t="s">
        <v>7</v>
      </c>
      <c r="B18" s="188"/>
      <c r="C18" s="188"/>
      <c r="D18" s="188"/>
      <c r="E18" s="189"/>
      <c r="F18" s="22" t="e">
        <f>#REF!</f>
        <v>#REF!</v>
      </c>
      <c r="G18" s="22" t="e">
        <f>#REF!</f>
        <v>#REF!</v>
      </c>
      <c r="H18" s="22" t="e">
        <f>#REF!</f>
        <v>#REF!</v>
      </c>
    </row>
    <row r="19" spans="1:8" x14ac:dyDescent="0.25">
      <c r="A19" s="182" t="s">
        <v>8</v>
      </c>
      <c r="B19" s="181"/>
      <c r="C19" s="181"/>
      <c r="D19" s="181"/>
      <c r="E19" s="181"/>
      <c r="F19" s="22" t="e">
        <f>#REF!</f>
        <v>#REF!</v>
      </c>
      <c r="G19" s="22" t="e">
        <f>#REF!</f>
        <v>#REF!</v>
      </c>
      <c r="H19" s="22" t="e">
        <f>#REF!</f>
        <v>#REF!</v>
      </c>
    </row>
    <row r="20" spans="1:8" x14ac:dyDescent="0.25">
      <c r="A20" s="170" t="s">
        <v>9</v>
      </c>
      <c r="B20" s="171"/>
      <c r="C20" s="171"/>
      <c r="D20" s="171"/>
      <c r="E20" s="171"/>
      <c r="F20" s="21">
        <v>0</v>
      </c>
      <c r="G20" s="21">
        <v>0</v>
      </c>
      <c r="H20" s="21">
        <v>0</v>
      </c>
    </row>
    <row r="21" spans="1:8" ht="18" x14ac:dyDescent="0.25">
      <c r="A21" s="13"/>
      <c r="B21" s="14"/>
      <c r="C21" s="14"/>
      <c r="D21" s="14"/>
      <c r="E21" s="14"/>
      <c r="F21" s="14"/>
      <c r="G21" s="14"/>
      <c r="H21" s="15"/>
    </row>
    <row r="22" spans="1:8" ht="18" customHeight="1" x14ac:dyDescent="0.25">
      <c r="A22" s="172" t="s">
        <v>358</v>
      </c>
      <c r="B22" s="173"/>
      <c r="C22" s="173"/>
      <c r="D22" s="173"/>
      <c r="E22" s="173"/>
      <c r="F22" s="173"/>
      <c r="G22" s="173"/>
      <c r="H22" s="173"/>
    </row>
    <row r="23" spans="1:8" ht="18" x14ac:dyDescent="0.25">
      <c r="A23" s="13"/>
      <c r="B23" s="14"/>
      <c r="C23" s="14"/>
      <c r="D23" s="14"/>
      <c r="E23" s="14"/>
      <c r="F23" s="14"/>
      <c r="G23" s="14"/>
      <c r="H23" s="15"/>
    </row>
    <row r="24" spans="1:8" x14ac:dyDescent="0.25">
      <c r="A24" s="17"/>
      <c r="B24" s="18"/>
      <c r="C24" s="18"/>
      <c r="D24" s="19"/>
      <c r="E24" s="20"/>
      <c r="F24" s="3" t="s">
        <v>11</v>
      </c>
      <c r="G24" s="3" t="s">
        <v>12</v>
      </c>
      <c r="H24" s="3" t="s">
        <v>229</v>
      </c>
    </row>
    <row r="25" spans="1:8" x14ac:dyDescent="0.25">
      <c r="A25" s="174" t="s">
        <v>26</v>
      </c>
      <c r="B25" s="175"/>
      <c r="C25" s="175"/>
      <c r="D25" s="175"/>
      <c r="E25" s="176"/>
      <c r="F25" s="23">
        <v>155589.96</v>
      </c>
      <c r="G25" s="54">
        <f>4844.38*I1</f>
        <v>36499.981110000001</v>
      </c>
      <c r="H25" s="54">
        <v>161152.12</v>
      </c>
    </row>
    <row r="26" spans="1:8" ht="30" customHeight="1" x14ac:dyDescent="0.25">
      <c r="A26" s="177" t="s">
        <v>367</v>
      </c>
      <c r="B26" s="178"/>
      <c r="C26" s="178"/>
      <c r="D26" s="178"/>
      <c r="E26" s="179"/>
      <c r="F26" s="24">
        <v>0</v>
      </c>
      <c r="G26" s="55">
        <f>4844.38*I1</f>
        <v>36499.981110000001</v>
      </c>
      <c r="H26" s="55">
        <v>24420.51</v>
      </c>
    </row>
    <row r="29" spans="1:8" x14ac:dyDescent="0.25">
      <c r="A29" s="180" t="s">
        <v>10</v>
      </c>
      <c r="B29" s="181"/>
      <c r="C29" s="181"/>
      <c r="D29" s="181"/>
      <c r="E29" s="181"/>
      <c r="F29" s="22">
        <v>0</v>
      </c>
      <c r="G29" s="22">
        <v>0</v>
      </c>
      <c r="H29" s="22">
        <v>0</v>
      </c>
    </row>
    <row r="30" spans="1:8" ht="11.25" customHeight="1" x14ac:dyDescent="0.25">
      <c r="A30" s="8"/>
      <c r="B30" s="9"/>
      <c r="C30" s="9"/>
      <c r="D30" s="9"/>
      <c r="E30" s="9"/>
      <c r="F30" s="10"/>
      <c r="G30" s="10"/>
      <c r="H30" s="10"/>
    </row>
    <row r="32" spans="1:8" x14ac:dyDescent="0.25">
      <c r="A32" t="s">
        <v>223</v>
      </c>
      <c r="E32" t="s">
        <v>224</v>
      </c>
      <c r="G32" t="s">
        <v>225</v>
      </c>
    </row>
    <row r="33" spans="1:7" x14ac:dyDescent="0.25">
      <c r="A33" t="s">
        <v>226</v>
      </c>
      <c r="E33" t="s">
        <v>227</v>
      </c>
      <c r="G33" t="s">
        <v>228</v>
      </c>
    </row>
  </sheetData>
  <mergeCells count="17">
    <mergeCell ref="A19:E19"/>
    <mergeCell ref="A1:H1"/>
    <mergeCell ref="A2:H2"/>
    <mergeCell ref="A4:H4"/>
    <mergeCell ref="A7:E7"/>
    <mergeCell ref="A8:E8"/>
    <mergeCell ref="A9:E9"/>
    <mergeCell ref="A11:E11"/>
    <mergeCell ref="A12:E12"/>
    <mergeCell ref="A13:E13"/>
    <mergeCell ref="A15:H15"/>
    <mergeCell ref="A18:E18"/>
    <mergeCell ref="A20:E20"/>
    <mergeCell ref="A22:H22"/>
    <mergeCell ref="A25:E25"/>
    <mergeCell ref="A26:E26"/>
    <mergeCell ref="A29:E29"/>
  </mergeCells>
  <pageMargins left="0.7" right="0.7" top="0.75" bottom="0.75" header="0.3" footer="0.3"/>
  <pageSetup paperSize="9" scale="69" orientation="landscape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view="pageBreakPreview" zoomScale="60" zoomScaleNormal="100" workbookViewId="0">
      <selection activeCell="F29" sqref="F29"/>
    </sheetView>
  </sheetViews>
  <sheetFormatPr defaultRowHeight="15" x14ac:dyDescent="0.25"/>
  <cols>
    <col min="1" max="1" width="9.140625" style="111"/>
    <col min="2" max="2" width="57.140625" style="120" customWidth="1"/>
    <col min="3" max="3" width="16.28515625" style="120" customWidth="1"/>
    <col min="4" max="4" width="14.42578125" style="120" customWidth="1"/>
    <col min="5" max="5" width="16.85546875" style="121" customWidth="1"/>
    <col min="6" max="6" width="11.42578125" style="120" customWidth="1"/>
    <col min="7" max="7" width="11.85546875" style="120" customWidth="1"/>
  </cols>
  <sheetData>
    <row r="1" spans="1:8" x14ac:dyDescent="0.25">
      <c r="A1" s="190" t="s">
        <v>337</v>
      </c>
      <c r="B1" s="190"/>
      <c r="C1" s="190"/>
      <c r="D1" s="190"/>
      <c r="E1" s="190"/>
      <c r="F1" s="190"/>
      <c r="G1" s="190"/>
    </row>
    <row r="2" spans="1:8" x14ac:dyDescent="0.25">
      <c r="A2" s="190" t="s">
        <v>339</v>
      </c>
      <c r="B2" s="190"/>
      <c r="C2" s="190"/>
      <c r="D2" s="190"/>
      <c r="E2" s="190"/>
      <c r="F2" s="190"/>
      <c r="G2" s="190"/>
    </row>
    <row r="3" spans="1:8" ht="27.75" customHeight="1" x14ac:dyDescent="0.25">
      <c r="A3" s="115" t="s">
        <v>331</v>
      </c>
      <c r="B3" s="118" t="s">
        <v>15</v>
      </c>
      <c r="C3" s="122" t="s">
        <v>332</v>
      </c>
      <c r="D3" s="122" t="s">
        <v>333</v>
      </c>
      <c r="E3" s="122" t="s">
        <v>334</v>
      </c>
      <c r="F3" s="122" t="s">
        <v>335</v>
      </c>
      <c r="G3" s="122" t="s">
        <v>336</v>
      </c>
    </row>
    <row r="4" spans="1:8" x14ac:dyDescent="0.25">
      <c r="A4" s="116">
        <v>1</v>
      </c>
      <c r="B4" s="119">
        <v>2</v>
      </c>
      <c r="C4" s="119">
        <v>3</v>
      </c>
      <c r="D4" s="119">
        <v>4</v>
      </c>
      <c r="E4" s="119">
        <v>5</v>
      </c>
      <c r="F4" s="119">
        <v>6</v>
      </c>
      <c r="G4" s="119">
        <v>7</v>
      </c>
      <c r="H4" s="111"/>
    </row>
    <row r="5" spans="1:8" ht="27" customHeight="1" x14ac:dyDescent="0.25">
      <c r="A5" s="123"/>
      <c r="B5" s="124" t="s">
        <v>341</v>
      </c>
      <c r="C5" s="126">
        <f>C6+C27</f>
        <v>9993990.8100000005</v>
      </c>
      <c r="D5" s="126">
        <f>D6+D31</f>
        <v>9959420</v>
      </c>
      <c r="E5" s="126">
        <f>E6</f>
        <v>10620420.960000001</v>
      </c>
      <c r="F5" s="153">
        <f>E5/C5*100</f>
        <v>106.26806810121532</v>
      </c>
      <c r="G5" s="153">
        <f>E5/D5*100</f>
        <v>106.63694231190171</v>
      </c>
      <c r="H5" s="111"/>
    </row>
    <row r="6" spans="1:8" s="117" customFormat="1" x14ac:dyDescent="0.25">
      <c r="A6" s="150" t="s">
        <v>292</v>
      </c>
      <c r="B6" s="151" t="s">
        <v>1</v>
      </c>
      <c r="C6" s="152">
        <f>C8+C12+C15+C18+C21+C24</f>
        <v>9988183.2100000009</v>
      </c>
      <c r="D6" s="152">
        <f>D8+D12+D15+D18+D21+D24</f>
        <v>9922920</v>
      </c>
      <c r="E6" s="152">
        <v>10620420.960000001</v>
      </c>
      <c r="F6" s="156"/>
      <c r="G6" s="156">
        <f t="shared" ref="G6:G8" si="0">E6/D6*100</f>
        <v>107.0291906011537</v>
      </c>
    </row>
    <row r="7" spans="1:8" s="117" customFormat="1" x14ac:dyDescent="0.25">
      <c r="A7" s="144" t="s">
        <v>293</v>
      </c>
      <c r="B7" s="145" t="s">
        <v>294</v>
      </c>
      <c r="C7" s="146">
        <f>C8</f>
        <v>8151810.29</v>
      </c>
      <c r="D7" s="146">
        <f>D8</f>
        <v>7953186</v>
      </c>
      <c r="E7" s="146">
        <v>8541764.8100000005</v>
      </c>
      <c r="F7" s="154">
        <f t="shared" ref="F7:F31" si="1">E7/C7*100</f>
        <v>104.78365548421024</v>
      </c>
      <c r="G7" s="154">
        <f t="shared" si="0"/>
        <v>107.40054124221415</v>
      </c>
    </row>
    <row r="8" spans="1:8" s="117" customFormat="1" x14ac:dyDescent="0.25">
      <c r="A8" s="147" t="s">
        <v>295</v>
      </c>
      <c r="B8" s="148" t="s">
        <v>296</v>
      </c>
      <c r="C8" s="149">
        <f>SUM(C9:C10)</f>
        <v>8151810.29</v>
      </c>
      <c r="D8" s="149">
        <v>7953186</v>
      </c>
      <c r="E8" s="149">
        <v>8541764.8100000005</v>
      </c>
      <c r="F8" s="155">
        <f t="shared" si="1"/>
        <v>104.78365548421024</v>
      </c>
      <c r="G8" s="155">
        <f t="shared" si="0"/>
        <v>107.40054124221415</v>
      </c>
    </row>
    <row r="9" spans="1:8" x14ac:dyDescent="0.25">
      <c r="A9" s="142" t="s">
        <v>297</v>
      </c>
      <c r="B9" s="120" t="s">
        <v>298</v>
      </c>
      <c r="C9" s="121">
        <v>8102162.96</v>
      </c>
      <c r="D9" s="120">
        <v>0</v>
      </c>
      <c r="E9" s="121">
        <v>8498974.1500000004</v>
      </c>
      <c r="F9" s="159">
        <f t="shared" si="1"/>
        <v>104.89759576497089</v>
      </c>
      <c r="G9" s="160" t="s">
        <v>354</v>
      </c>
    </row>
    <row r="10" spans="1:8" x14ac:dyDescent="0.25">
      <c r="A10" s="142" t="s">
        <v>299</v>
      </c>
      <c r="B10" s="120" t="s">
        <v>300</v>
      </c>
      <c r="C10" s="121">
        <v>49647.33</v>
      </c>
      <c r="D10" s="120">
        <v>0</v>
      </c>
      <c r="E10" s="121">
        <v>42790.66</v>
      </c>
      <c r="F10" s="159">
        <f t="shared" si="1"/>
        <v>86.189247236457632</v>
      </c>
      <c r="G10" s="160" t="s">
        <v>354</v>
      </c>
    </row>
    <row r="11" spans="1:8" s="117" customFormat="1" x14ac:dyDescent="0.25">
      <c r="A11" s="157" t="s">
        <v>301</v>
      </c>
      <c r="B11" s="145" t="s">
        <v>302</v>
      </c>
      <c r="C11" s="145">
        <f>C12</f>
        <v>2</v>
      </c>
      <c r="D11" s="146">
        <f>D12</f>
        <v>0</v>
      </c>
      <c r="E11" s="146">
        <v>1.69</v>
      </c>
      <c r="F11" s="154">
        <f t="shared" si="1"/>
        <v>84.5</v>
      </c>
      <c r="G11" s="161"/>
    </row>
    <row r="12" spans="1:8" s="117" customFormat="1" x14ac:dyDescent="0.25">
      <c r="A12" s="158" t="s">
        <v>303</v>
      </c>
      <c r="B12" s="148" t="s">
        <v>304</v>
      </c>
      <c r="C12" s="148">
        <f>C13</f>
        <v>2</v>
      </c>
      <c r="D12" s="149">
        <v>0</v>
      </c>
      <c r="E12" s="149">
        <v>1.69</v>
      </c>
      <c r="F12" s="155">
        <f t="shared" si="1"/>
        <v>84.5</v>
      </c>
      <c r="G12" s="162"/>
    </row>
    <row r="13" spans="1:8" x14ac:dyDescent="0.25">
      <c r="A13" s="142" t="s">
        <v>305</v>
      </c>
      <c r="B13" s="120" t="s">
        <v>306</v>
      </c>
      <c r="C13" s="120">
        <v>2</v>
      </c>
      <c r="D13" s="120">
        <v>0</v>
      </c>
      <c r="E13" s="121">
        <v>1.69</v>
      </c>
      <c r="F13" s="159">
        <f t="shared" si="1"/>
        <v>84.5</v>
      </c>
      <c r="G13" s="160" t="s">
        <v>354</v>
      </c>
    </row>
    <row r="14" spans="1:8" s="117" customFormat="1" x14ac:dyDescent="0.25">
      <c r="A14" s="157" t="s">
        <v>307</v>
      </c>
      <c r="B14" s="145" t="s">
        <v>308</v>
      </c>
      <c r="C14" s="146">
        <f>C15</f>
        <v>191417.78</v>
      </c>
      <c r="D14" s="146">
        <f>D15</f>
        <v>223900</v>
      </c>
      <c r="E14" s="146">
        <v>334456.58</v>
      </c>
      <c r="F14" s="154">
        <f t="shared" si="1"/>
        <v>174.72597373138484</v>
      </c>
      <c r="G14" s="161">
        <f t="shared" ref="G14:G15" si="2">E14/D14*100</f>
        <v>149.37765966949533</v>
      </c>
    </row>
    <row r="15" spans="1:8" s="117" customFormat="1" x14ac:dyDescent="0.25">
      <c r="A15" s="158" t="s">
        <v>309</v>
      </c>
      <c r="B15" s="148" t="s">
        <v>310</v>
      </c>
      <c r="C15" s="149">
        <f>C16</f>
        <v>191417.78</v>
      </c>
      <c r="D15" s="149">
        <v>223900</v>
      </c>
      <c r="E15" s="149">
        <v>334456.58</v>
      </c>
      <c r="F15" s="155">
        <f t="shared" si="1"/>
        <v>174.72597373138484</v>
      </c>
      <c r="G15" s="162">
        <f t="shared" si="2"/>
        <v>149.37765966949533</v>
      </c>
    </row>
    <row r="16" spans="1:8" x14ac:dyDescent="0.25">
      <c r="A16" s="142" t="s">
        <v>311</v>
      </c>
      <c r="B16" s="120" t="s">
        <v>312</v>
      </c>
      <c r="C16" s="121">
        <v>191417.78</v>
      </c>
      <c r="D16" s="120">
        <v>0</v>
      </c>
      <c r="E16" s="121">
        <v>334456.58</v>
      </c>
      <c r="F16" s="159">
        <f t="shared" si="1"/>
        <v>174.72597373138484</v>
      </c>
      <c r="G16" s="160" t="s">
        <v>354</v>
      </c>
    </row>
    <row r="17" spans="1:7" s="117" customFormat="1" x14ac:dyDescent="0.25">
      <c r="A17" s="157" t="s">
        <v>313</v>
      </c>
      <c r="B17" s="145" t="s">
        <v>314</v>
      </c>
      <c r="C17" s="146">
        <f>C18+C21</f>
        <v>25907.47</v>
      </c>
      <c r="D17" s="146">
        <f>D18+D21</f>
        <v>3500</v>
      </c>
      <c r="E17" s="146">
        <v>6895</v>
      </c>
      <c r="F17" s="154">
        <f t="shared" si="1"/>
        <v>26.613945707550755</v>
      </c>
      <c r="G17" s="161">
        <f t="shared" ref="G17:G18" si="3">E17/D17*100</f>
        <v>197</v>
      </c>
    </row>
    <row r="18" spans="1:7" s="117" customFormat="1" x14ac:dyDescent="0.25">
      <c r="A18" s="158" t="s">
        <v>315</v>
      </c>
      <c r="B18" s="148" t="s">
        <v>316</v>
      </c>
      <c r="C18" s="149">
        <f>SUM(C19:C20)</f>
        <v>4000</v>
      </c>
      <c r="D18" s="149">
        <v>3000</v>
      </c>
      <c r="E18" s="149">
        <v>2475</v>
      </c>
      <c r="F18" s="155">
        <f t="shared" si="1"/>
        <v>61.875</v>
      </c>
      <c r="G18" s="162">
        <f t="shared" si="3"/>
        <v>82.5</v>
      </c>
    </row>
    <row r="19" spans="1:7" x14ac:dyDescent="0.25">
      <c r="A19" s="142">
        <v>6614</v>
      </c>
      <c r="B19" s="120" t="s">
        <v>363</v>
      </c>
      <c r="C19" s="121">
        <v>4000</v>
      </c>
      <c r="D19" s="120">
        <v>0</v>
      </c>
      <c r="E19" s="121">
        <v>0</v>
      </c>
      <c r="F19" s="159">
        <f t="shared" ref="F19" si="4">E19/C19*100</f>
        <v>0</v>
      </c>
      <c r="G19" s="160" t="s">
        <v>354</v>
      </c>
    </row>
    <row r="20" spans="1:7" x14ac:dyDescent="0.25">
      <c r="A20" s="142" t="s">
        <v>317</v>
      </c>
      <c r="B20" s="120" t="s">
        <v>318</v>
      </c>
      <c r="C20" s="121">
        <v>0</v>
      </c>
      <c r="D20" s="120">
        <v>0</v>
      </c>
      <c r="E20" s="121">
        <v>2475</v>
      </c>
      <c r="F20" s="159" t="e">
        <f t="shared" si="1"/>
        <v>#DIV/0!</v>
      </c>
      <c r="G20" s="160" t="s">
        <v>354</v>
      </c>
    </row>
    <row r="21" spans="1:7" s="117" customFormat="1" x14ac:dyDescent="0.25">
      <c r="A21" s="158" t="s">
        <v>319</v>
      </c>
      <c r="B21" s="148" t="s">
        <v>320</v>
      </c>
      <c r="C21" s="149">
        <f>C22</f>
        <v>21907.47</v>
      </c>
      <c r="D21" s="149">
        <v>500</v>
      </c>
      <c r="E21" s="149">
        <v>4420</v>
      </c>
      <c r="F21" s="155">
        <f t="shared" si="1"/>
        <v>20.175766530776944</v>
      </c>
      <c r="G21" s="162">
        <f t="shared" ref="G21" si="5">E21/D21*100</f>
        <v>884</v>
      </c>
    </row>
    <row r="22" spans="1:7" x14ac:dyDescent="0.25">
      <c r="A22" s="142" t="s">
        <v>321</v>
      </c>
      <c r="B22" s="120" t="s">
        <v>322</v>
      </c>
      <c r="C22" s="121">
        <v>21907.47</v>
      </c>
      <c r="D22" s="120">
        <v>500</v>
      </c>
      <c r="E22" s="121">
        <v>4420</v>
      </c>
      <c r="F22" s="159">
        <f t="shared" si="1"/>
        <v>20.175766530776944</v>
      </c>
      <c r="G22" s="160" t="s">
        <v>354</v>
      </c>
    </row>
    <row r="23" spans="1:7" s="117" customFormat="1" x14ac:dyDescent="0.25">
      <c r="A23" s="157" t="s">
        <v>323</v>
      </c>
      <c r="B23" s="145" t="s">
        <v>324</v>
      </c>
      <c r="C23" s="146">
        <f>C24</f>
        <v>1619045.67</v>
      </c>
      <c r="D23" s="146">
        <f>D24</f>
        <v>1742334</v>
      </c>
      <c r="E23" s="146">
        <v>1737302.88</v>
      </c>
      <c r="F23" s="154">
        <f t="shared" si="1"/>
        <v>107.30413058700191</v>
      </c>
      <c r="G23" s="161">
        <f t="shared" ref="G23:G24" si="6">E23/D23*100</f>
        <v>99.711242505742291</v>
      </c>
    </row>
    <row r="24" spans="1:7" s="117" customFormat="1" x14ac:dyDescent="0.25">
      <c r="A24" s="158" t="s">
        <v>325</v>
      </c>
      <c r="B24" s="148" t="s">
        <v>326</v>
      </c>
      <c r="C24" s="149">
        <f>SUM(C25:C26)</f>
        <v>1619045.67</v>
      </c>
      <c r="D24" s="149">
        <v>1742334</v>
      </c>
      <c r="E24" s="149">
        <v>1737302.88</v>
      </c>
      <c r="F24" s="155">
        <f t="shared" si="1"/>
        <v>107.30413058700191</v>
      </c>
      <c r="G24" s="162">
        <f t="shared" si="6"/>
        <v>99.711242505742291</v>
      </c>
    </row>
    <row r="25" spans="1:7" x14ac:dyDescent="0.25">
      <c r="A25" s="142" t="s">
        <v>327</v>
      </c>
      <c r="B25" s="120" t="s">
        <v>328</v>
      </c>
      <c r="C25" s="121">
        <v>1430295.67</v>
      </c>
      <c r="D25" s="120">
        <v>0</v>
      </c>
      <c r="E25" s="121">
        <v>1131624.94</v>
      </c>
      <c r="F25" s="159">
        <f t="shared" si="1"/>
        <v>79.118252521871923</v>
      </c>
      <c r="G25" s="160" t="s">
        <v>354</v>
      </c>
    </row>
    <row r="26" spans="1:7" x14ac:dyDescent="0.25">
      <c r="A26" s="142" t="s">
        <v>329</v>
      </c>
      <c r="B26" s="120" t="s">
        <v>330</v>
      </c>
      <c r="C26" s="121">
        <v>188750</v>
      </c>
      <c r="D26" s="120">
        <v>0</v>
      </c>
      <c r="E26" s="121">
        <v>605677.93999999994</v>
      </c>
      <c r="F26" s="159">
        <f t="shared" si="1"/>
        <v>320.88897483443708</v>
      </c>
      <c r="G26" s="160" t="s">
        <v>354</v>
      </c>
    </row>
    <row r="27" spans="1:7" s="117" customFormat="1" x14ac:dyDescent="0.25">
      <c r="A27" s="167">
        <v>7</v>
      </c>
      <c r="B27" s="151" t="s">
        <v>2</v>
      </c>
      <c r="C27" s="152">
        <f>C28</f>
        <v>5807.6</v>
      </c>
      <c r="D27" s="152">
        <f t="shared" ref="D27:F27" si="7">D28</f>
        <v>0</v>
      </c>
      <c r="E27" s="152">
        <f t="shared" si="7"/>
        <v>0</v>
      </c>
      <c r="F27" s="152">
        <f t="shared" si="7"/>
        <v>0</v>
      </c>
      <c r="G27" s="154">
        <v>0</v>
      </c>
    </row>
    <row r="28" spans="1:7" s="117" customFormat="1" x14ac:dyDescent="0.25">
      <c r="A28" s="157">
        <v>72</v>
      </c>
      <c r="B28" s="145" t="s">
        <v>365</v>
      </c>
      <c r="C28" s="146">
        <f>C29</f>
        <v>5807.6</v>
      </c>
      <c r="D28" s="146">
        <f t="shared" ref="D28:E28" si="8">D29</f>
        <v>0</v>
      </c>
      <c r="E28" s="146">
        <f t="shared" si="8"/>
        <v>0</v>
      </c>
      <c r="F28" s="154">
        <f t="shared" ref="F28:F30" si="9">E28/C28*100</f>
        <v>0</v>
      </c>
      <c r="G28" s="154">
        <v>0</v>
      </c>
    </row>
    <row r="29" spans="1:7" s="117" customFormat="1" x14ac:dyDescent="0.25">
      <c r="A29" s="158">
        <v>721</v>
      </c>
      <c r="B29" s="148" t="s">
        <v>366</v>
      </c>
      <c r="C29" s="149">
        <f>C30</f>
        <v>5807.6</v>
      </c>
      <c r="D29" s="149">
        <f t="shared" ref="D29:E29" si="10">D30</f>
        <v>0</v>
      </c>
      <c r="E29" s="149">
        <f t="shared" si="10"/>
        <v>0</v>
      </c>
      <c r="F29" s="155">
        <f t="shared" si="9"/>
        <v>0</v>
      </c>
      <c r="G29" s="155">
        <v>0</v>
      </c>
    </row>
    <row r="30" spans="1:7" x14ac:dyDescent="0.25">
      <c r="A30" s="142">
        <v>7211</v>
      </c>
      <c r="B30" s="120" t="s">
        <v>364</v>
      </c>
      <c r="C30" s="121">
        <v>5807.6</v>
      </c>
      <c r="D30" s="120">
        <v>0</v>
      </c>
      <c r="E30" s="121">
        <v>0</v>
      </c>
      <c r="F30" s="159">
        <f t="shared" si="9"/>
        <v>0</v>
      </c>
      <c r="G30" s="160" t="s">
        <v>354</v>
      </c>
    </row>
    <row r="31" spans="1:7" s="117" customFormat="1" x14ac:dyDescent="0.25">
      <c r="A31" s="158">
        <v>9221</v>
      </c>
      <c r="B31" s="148" t="s">
        <v>340</v>
      </c>
      <c r="C31" s="149">
        <v>161152.12</v>
      </c>
      <c r="D31" s="149">
        <v>36500</v>
      </c>
      <c r="E31" s="149">
        <v>0</v>
      </c>
      <c r="F31" s="155">
        <f t="shared" si="1"/>
        <v>0</v>
      </c>
      <c r="G31" s="155">
        <f t="shared" ref="G31" si="11">E31/D31*100</f>
        <v>0</v>
      </c>
    </row>
    <row r="33" spans="1:5" x14ac:dyDescent="0.25">
      <c r="A33" t="s">
        <v>223</v>
      </c>
      <c r="C33" t="s">
        <v>224</v>
      </c>
      <c r="E33" t="s">
        <v>225</v>
      </c>
    </row>
    <row r="34" spans="1:5" x14ac:dyDescent="0.25">
      <c r="A34" t="s">
        <v>226</v>
      </c>
      <c r="C34" t="s">
        <v>227</v>
      </c>
      <c r="E34" t="s">
        <v>228</v>
      </c>
    </row>
  </sheetData>
  <mergeCells count="2">
    <mergeCell ref="A1:G1"/>
    <mergeCell ref="A2:G2"/>
  </mergeCells>
  <pageMargins left="0.7" right="0.7" top="0.75" bottom="0.75" header="0.3" footer="0.3"/>
  <pageSetup paperSize="9"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view="pageBreakPreview" zoomScale="60" zoomScaleNormal="100" workbookViewId="0">
      <selection sqref="A1:G67"/>
    </sheetView>
  </sheetViews>
  <sheetFormatPr defaultRowHeight="15" x14ac:dyDescent="0.25"/>
  <cols>
    <col min="2" max="2" width="47.42578125" style="120" customWidth="1"/>
    <col min="3" max="3" width="13.28515625" style="120" customWidth="1"/>
    <col min="4" max="4" width="14.140625" style="121" customWidth="1"/>
    <col min="5" max="5" width="14.85546875" style="121" customWidth="1"/>
    <col min="6" max="6" width="10.85546875" style="159" customWidth="1"/>
    <col min="7" max="7" width="10.28515625" style="120" customWidth="1"/>
  </cols>
  <sheetData>
    <row r="1" spans="1:8" x14ac:dyDescent="0.25">
      <c r="A1" s="190" t="s">
        <v>337</v>
      </c>
      <c r="B1" s="190"/>
      <c r="C1" s="190"/>
      <c r="D1" s="190"/>
      <c r="E1" s="190"/>
      <c r="F1" s="190"/>
      <c r="G1" s="190"/>
    </row>
    <row r="2" spans="1:8" x14ac:dyDescent="0.25">
      <c r="A2" s="190" t="s">
        <v>338</v>
      </c>
      <c r="B2" s="190"/>
      <c r="C2" s="190"/>
      <c r="D2" s="190"/>
      <c r="E2" s="190"/>
      <c r="F2" s="190"/>
      <c r="G2" s="190"/>
    </row>
    <row r="3" spans="1:8" ht="26.25" x14ac:dyDescent="0.25">
      <c r="A3" s="115" t="s">
        <v>331</v>
      </c>
      <c r="B3" s="118" t="s">
        <v>15</v>
      </c>
      <c r="C3" s="122" t="s">
        <v>332</v>
      </c>
      <c r="D3" s="143" t="s">
        <v>333</v>
      </c>
      <c r="E3" s="122" t="s">
        <v>334</v>
      </c>
      <c r="F3" s="169" t="s">
        <v>335</v>
      </c>
      <c r="G3" s="122" t="s">
        <v>336</v>
      </c>
    </row>
    <row r="4" spans="1:8" x14ac:dyDescent="0.25">
      <c r="A4" s="116">
        <v>1</v>
      </c>
      <c r="B4" s="119">
        <v>2</v>
      </c>
      <c r="C4" s="119">
        <v>3</v>
      </c>
      <c r="D4" s="119">
        <v>4</v>
      </c>
      <c r="E4" s="119">
        <v>5</v>
      </c>
      <c r="F4" s="119">
        <v>6</v>
      </c>
      <c r="G4" s="119">
        <v>7</v>
      </c>
      <c r="H4" s="111"/>
    </row>
    <row r="5" spans="1:8" ht="18.75" customHeight="1" x14ac:dyDescent="0.25">
      <c r="A5" s="123"/>
      <c r="B5" s="124" t="s">
        <v>19</v>
      </c>
      <c r="C5" s="125">
        <f>C6+C55</f>
        <v>9988428.6500000004</v>
      </c>
      <c r="D5" s="125">
        <f>D6+D55</f>
        <v>9959420.1199999992</v>
      </c>
      <c r="E5" s="126">
        <f>E6+E55</f>
        <v>10644841.470000001</v>
      </c>
      <c r="F5" s="153">
        <f>E5/C5*100</f>
        <v>106.57173258178103</v>
      </c>
      <c r="G5" s="153">
        <f>E5/D5*100</f>
        <v>106.88214114618555</v>
      </c>
      <c r="H5" s="111"/>
    </row>
    <row r="6" spans="1:8" s="117" customFormat="1" x14ac:dyDescent="0.25">
      <c r="A6" s="150" t="s">
        <v>168</v>
      </c>
      <c r="B6" s="151" t="s">
        <v>241</v>
      </c>
      <c r="C6" s="152">
        <f>C7+C15+C45+C49+C52</f>
        <v>9673765.5999999996</v>
      </c>
      <c r="D6" s="152">
        <f>D7+D15+D45+D49</f>
        <v>9254910.9299999997</v>
      </c>
      <c r="E6" s="152">
        <v>9962784.9100000001</v>
      </c>
      <c r="F6" s="156">
        <f t="shared" ref="F6:F67" si="0">E6/C6*100</f>
        <v>102.98766087530589</v>
      </c>
      <c r="G6" s="156">
        <f t="shared" ref="G6:G8" si="1">E6/D6*100</f>
        <v>107.64863093069228</v>
      </c>
    </row>
    <row r="7" spans="1:8" s="117" customFormat="1" x14ac:dyDescent="0.25">
      <c r="A7" s="144" t="s">
        <v>169</v>
      </c>
      <c r="B7" s="145" t="s">
        <v>242</v>
      </c>
      <c r="C7" s="146">
        <f>C8+C10+C12</f>
        <v>7595873.3799999999</v>
      </c>
      <c r="D7" s="146">
        <f>D8+D10+D12</f>
        <v>7501667.4199999999</v>
      </c>
      <c r="E7" s="146">
        <v>8052907.4699999997</v>
      </c>
      <c r="F7" s="154">
        <f t="shared" si="0"/>
        <v>106.01687346715619</v>
      </c>
      <c r="G7" s="154">
        <f t="shared" si="1"/>
        <v>107.34823365443198</v>
      </c>
    </row>
    <row r="8" spans="1:8" s="117" customFormat="1" x14ac:dyDescent="0.25">
      <c r="A8" s="147" t="s">
        <v>170</v>
      </c>
      <c r="B8" s="148" t="s">
        <v>243</v>
      </c>
      <c r="C8" s="149">
        <f>C9</f>
        <v>6268318.0999999996</v>
      </c>
      <c r="D8" s="149">
        <f>D9</f>
        <v>6222568.5300000003</v>
      </c>
      <c r="E8" s="149">
        <v>6636932.3099999996</v>
      </c>
      <c r="F8" s="155">
        <f t="shared" si="0"/>
        <v>105.8805919565569</v>
      </c>
      <c r="G8" s="155">
        <f t="shared" si="1"/>
        <v>106.65904727287912</v>
      </c>
    </row>
    <row r="9" spans="1:8" x14ac:dyDescent="0.25">
      <c r="A9" t="s">
        <v>144</v>
      </c>
      <c r="B9" s="120" t="s">
        <v>244</v>
      </c>
      <c r="C9" s="121">
        <v>6268318.0999999996</v>
      </c>
      <c r="D9" s="121">
        <v>6222568.5300000003</v>
      </c>
      <c r="E9" s="121">
        <v>6636932.3099999996</v>
      </c>
      <c r="F9" s="159">
        <f t="shared" si="0"/>
        <v>105.8805919565569</v>
      </c>
      <c r="G9" s="120" t="s">
        <v>354</v>
      </c>
    </row>
    <row r="10" spans="1:8" s="117" customFormat="1" x14ac:dyDescent="0.25">
      <c r="A10" s="147" t="s">
        <v>171</v>
      </c>
      <c r="B10" s="148" t="s">
        <v>245</v>
      </c>
      <c r="C10" s="149">
        <f>SUM(C11)</f>
        <v>285919.15999999997</v>
      </c>
      <c r="D10" s="149">
        <f>SUM(D11)</f>
        <v>257375</v>
      </c>
      <c r="E10" s="149">
        <v>313393.65999999997</v>
      </c>
      <c r="F10" s="155">
        <f t="shared" si="0"/>
        <v>109.60918463806344</v>
      </c>
      <c r="G10" s="155">
        <f>E10/D10*100</f>
        <v>121.7653851384167</v>
      </c>
    </row>
    <row r="11" spans="1:8" x14ac:dyDescent="0.25">
      <c r="A11" t="s">
        <v>145</v>
      </c>
      <c r="B11" s="120" t="s">
        <v>245</v>
      </c>
      <c r="C11" s="120">
        <v>285919.15999999997</v>
      </c>
      <c r="D11" s="121">
        <v>257375</v>
      </c>
      <c r="E11" s="121">
        <v>313393.65999999997</v>
      </c>
      <c r="F11" s="159">
        <f t="shared" si="0"/>
        <v>109.60918463806344</v>
      </c>
      <c r="G11" s="120" t="s">
        <v>354</v>
      </c>
    </row>
    <row r="12" spans="1:8" s="117" customFormat="1" x14ac:dyDescent="0.25">
      <c r="A12" s="147" t="s">
        <v>172</v>
      </c>
      <c r="B12" s="148" t="s">
        <v>246</v>
      </c>
      <c r="C12" s="149">
        <f>SUM(C13:C14)</f>
        <v>1041636.12</v>
      </c>
      <c r="D12" s="149">
        <f>SUM(D13:D14)</f>
        <v>1021723.89</v>
      </c>
      <c r="E12" s="149">
        <v>1102581.5</v>
      </c>
      <c r="F12" s="155">
        <f t="shared" si="0"/>
        <v>105.85092805729511</v>
      </c>
      <c r="G12" s="155">
        <f>E12/D12*100</f>
        <v>107.91384157612288</v>
      </c>
    </row>
    <row r="13" spans="1:8" x14ac:dyDescent="0.25">
      <c r="A13" t="s">
        <v>146</v>
      </c>
      <c r="B13" s="120" t="s">
        <v>247</v>
      </c>
      <c r="C13" s="120">
        <v>1039192.12</v>
      </c>
      <c r="D13" s="121">
        <v>1020723.89</v>
      </c>
      <c r="E13" s="121">
        <v>1101352.58</v>
      </c>
      <c r="F13" s="159">
        <f t="shared" si="0"/>
        <v>105.98161387136</v>
      </c>
      <c r="G13" s="120" t="s">
        <v>354</v>
      </c>
    </row>
    <row r="14" spans="1:8" x14ac:dyDescent="0.25">
      <c r="A14" t="s">
        <v>160</v>
      </c>
      <c r="B14" s="120" t="s">
        <v>248</v>
      </c>
      <c r="C14" s="120">
        <v>2444</v>
      </c>
      <c r="D14" s="121">
        <v>1000</v>
      </c>
      <c r="E14" s="121">
        <v>1228.92</v>
      </c>
      <c r="F14" s="159">
        <f t="shared" si="0"/>
        <v>50.283142389525374</v>
      </c>
      <c r="G14" s="120" t="s">
        <v>354</v>
      </c>
    </row>
    <row r="15" spans="1:8" s="117" customFormat="1" x14ac:dyDescent="0.25">
      <c r="A15" s="144" t="s">
        <v>173</v>
      </c>
      <c r="B15" s="145" t="s">
        <v>249</v>
      </c>
      <c r="C15" s="146">
        <f>C16+C20+C27+C37</f>
        <v>2001304.7599999998</v>
      </c>
      <c r="D15" s="146">
        <f>D16+D20+D27+D37</f>
        <v>1726231.26</v>
      </c>
      <c r="E15" s="146">
        <v>1851861.27</v>
      </c>
      <c r="F15" s="154">
        <f t="shared" si="0"/>
        <v>92.532697019118686</v>
      </c>
      <c r="G15" s="154">
        <f>E15/D15*100</f>
        <v>107.27770449481955</v>
      </c>
    </row>
    <row r="16" spans="1:8" s="117" customFormat="1" x14ac:dyDescent="0.25">
      <c r="A16" s="147" t="s">
        <v>174</v>
      </c>
      <c r="B16" s="148" t="s">
        <v>250</v>
      </c>
      <c r="C16" s="149">
        <f>SUM(C17:C19)</f>
        <v>186338.43</v>
      </c>
      <c r="D16" s="149">
        <f>SUM(D17:D19)</f>
        <v>250750.94</v>
      </c>
      <c r="E16" s="149">
        <v>295761.78000000003</v>
      </c>
      <c r="F16" s="155">
        <f t="shared" si="0"/>
        <v>158.72291078120602</v>
      </c>
      <c r="G16" s="155">
        <f>E16/D16*100</f>
        <v>117.95041725466713</v>
      </c>
    </row>
    <row r="17" spans="1:7" x14ac:dyDescent="0.25">
      <c r="A17" t="s">
        <v>147</v>
      </c>
      <c r="B17" s="120" t="s">
        <v>251</v>
      </c>
      <c r="C17" s="120">
        <v>4821.1000000000004</v>
      </c>
      <c r="D17" s="121">
        <v>33886</v>
      </c>
      <c r="E17" s="121">
        <v>40167.83</v>
      </c>
      <c r="F17" s="159">
        <f t="shared" si="0"/>
        <v>833.16732695857786</v>
      </c>
      <c r="G17" s="120" t="s">
        <v>354</v>
      </c>
    </row>
    <row r="18" spans="1:7" x14ac:dyDescent="0.25">
      <c r="A18" t="s">
        <v>148</v>
      </c>
      <c r="B18" s="120" t="s">
        <v>252</v>
      </c>
      <c r="C18" s="120">
        <v>167429.82999999999</v>
      </c>
      <c r="D18" s="121">
        <v>208464.94</v>
      </c>
      <c r="E18" s="121">
        <v>250960.35</v>
      </c>
      <c r="F18" s="159">
        <f t="shared" si="0"/>
        <v>149.8898672954515</v>
      </c>
      <c r="G18" s="120" t="s">
        <v>354</v>
      </c>
    </row>
    <row r="19" spans="1:7" x14ac:dyDescent="0.25">
      <c r="A19" t="s">
        <v>176</v>
      </c>
      <c r="B19" s="120" t="s">
        <v>253</v>
      </c>
      <c r="C19" s="120">
        <v>14087.5</v>
      </c>
      <c r="D19" s="121">
        <v>8400</v>
      </c>
      <c r="E19" s="121">
        <v>4633.6000000000004</v>
      </c>
      <c r="F19" s="159">
        <f t="shared" si="0"/>
        <v>32.891570541259988</v>
      </c>
      <c r="G19" s="120" t="s">
        <v>354</v>
      </c>
    </row>
    <row r="20" spans="1:7" s="117" customFormat="1" x14ac:dyDescent="0.25">
      <c r="A20" s="147" t="s">
        <v>177</v>
      </c>
      <c r="B20" s="148" t="s">
        <v>254</v>
      </c>
      <c r="C20" s="149">
        <f>SUM(C21:C26)</f>
        <v>703219.08</v>
      </c>
      <c r="D20" s="149">
        <f>SUM(D21:D26)</f>
        <v>802686.9</v>
      </c>
      <c r="E20" s="149">
        <v>807681.94</v>
      </c>
      <c r="F20" s="155">
        <f t="shared" si="0"/>
        <v>114.85495245663699</v>
      </c>
      <c r="G20" s="155">
        <f>E20/D20*100</f>
        <v>100.62228996137846</v>
      </c>
    </row>
    <row r="21" spans="1:7" x14ac:dyDescent="0.25">
      <c r="A21" t="s">
        <v>163</v>
      </c>
      <c r="B21" s="120" t="s">
        <v>255</v>
      </c>
      <c r="C21" s="120">
        <v>270111.23</v>
      </c>
      <c r="D21" s="121">
        <v>272150.90000000002</v>
      </c>
      <c r="E21" s="121">
        <v>258064.32</v>
      </c>
      <c r="F21" s="159">
        <f t="shared" si="0"/>
        <v>95.540018828539644</v>
      </c>
      <c r="G21" s="120" t="s">
        <v>354</v>
      </c>
    </row>
    <row r="22" spans="1:7" x14ac:dyDescent="0.25">
      <c r="A22" t="s">
        <v>164</v>
      </c>
      <c r="B22" s="120" t="s">
        <v>256</v>
      </c>
      <c r="C22" s="120">
        <v>303236.59999999998</v>
      </c>
      <c r="D22" s="121">
        <v>342736</v>
      </c>
      <c r="E22" s="121">
        <v>386552.69</v>
      </c>
      <c r="F22" s="159">
        <f t="shared" si="0"/>
        <v>127.47560485772497</v>
      </c>
      <c r="G22" s="120" t="s">
        <v>354</v>
      </c>
    </row>
    <row r="23" spans="1:7" x14ac:dyDescent="0.25">
      <c r="A23" t="s">
        <v>178</v>
      </c>
      <c r="B23" s="120" t="s">
        <v>257</v>
      </c>
      <c r="C23" s="120">
        <v>102704.77</v>
      </c>
      <c r="D23" s="121">
        <v>138100</v>
      </c>
      <c r="E23" s="121">
        <v>110613</v>
      </c>
      <c r="F23" s="159">
        <f t="shared" si="0"/>
        <v>107.69996369204662</v>
      </c>
      <c r="G23" s="120" t="s">
        <v>354</v>
      </c>
    </row>
    <row r="24" spans="1:7" x14ac:dyDescent="0.25">
      <c r="A24" t="s">
        <v>150</v>
      </c>
      <c r="B24" s="120" t="s">
        <v>258</v>
      </c>
      <c r="C24" s="120">
        <v>18083.189999999999</v>
      </c>
      <c r="D24" s="121">
        <v>21000</v>
      </c>
      <c r="E24" s="121">
        <v>18430.86</v>
      </c>
      <c r="F24" s="159">
        <f t="shared" si="0"/>
        <v>101.92261431749598</v>
      </c>
      <c r="G24" s="120" t="s">
        <v>354</v>
      </c>
    </row>
    <row r="25" spans="1:7" x14ac:dyDescent="0.25">
      <c r="A25" t="s">
        <v>165</v>
      </c>
      <c r="B25" s="120" t="s">
        <v>259</v>
      </c>
      <c r="C25" s="120">
        <v>5166.74</v>
      </c>
      <c r="D25" s="121">
        <v>27700</v>
      </c>
      <c r="E25" s="121">
        <v>32364.17</v>
      </c>
      <c r="F25" s="159">
        <f t="shared" si="0"/>
        <v>626.39439956336105</v>
      </c>
      <c r="G25" s="120" t="s">
        <v>354</v>
      </c>
    </row>
    <row r="26" spans="1:7" x14ac:dyDescent="0.25">
      <c r="A26" t="s">
        <v>179</v>
      </c>
      <c r="B26" s="120" t="s">
        <v>260</v>
      </c>
      <c r="C26" s="120">
        <v>3916.55</v>
      </c>
      <c r="D26" s="121">
        <v>1000</v>
      </c>
      <c r="E26" s="121">
        <v>1656.9</v>
      </c>
      <c r="F26" s="159">
        <f t="shared" si="0"/>
        <v>42.305089938849243</v>
      </c>
      <c r="G26" s="120" t="s">
        <v>354</v>
      </c>
    </row>
    <row r="27" spans="1:7" s="117" customFormat="1" x14ac:dyDescent="0.25">
      <c r="A27" s="147" t="s">
        <v>181</v>
      </c>
      <c r="B27" s="148" t="s">
        <v>261</v>
      </c>
      <c r="C27" s="149">
        <f>SUM(C28:C36)</f>
        <v>981022.7899999998</v>
      </c>
      <c r="D27" s="149">
        <f>SUM(D28:D36)</f>
        <v>599785.30999999994</v>
      </c>
      <c r="E27" s="149">
        <v>630287.92000000004</v>
      </c>
      <c r="F27" s="155">
        <f t="shared" si="0"/>
        <v>64.248040557753015</v>
      </c>
      <c r="G27" s="155">
        <f>E27/D27*100</f>
        <v>105.08558804149439</v>
      </c>
    </row>
    <row r="28" spans="1:7" x14ac:dyDescent="0.25">
      <c r="A28" t="s">
        <v>182</v>
      </c>
      <c r="B28" s="120" t="s">
        <v>262</v>
      </c>
      <c r="C28" s="120">
        <v>30218.58</v>
      </c>
      <c r="D28" s="121">
        <v>47200</v>
      </c>
      <c r="E28" s="121">
        <v>105597.18</v>
      </c>
      <c r="F28" s="159">
        <f t="shared" si="0"/>
        <v>349.44454703033693</v>
      </c>
      <c r="G28" s="120" t="s">
        <v>354</v>
      </c>
    </row>
    <row r="29" spans="1:7" x14ac:dyDescent="0.25">
      <c r="A29" t="s">
        <v>151</v>
      </c>
      <c r="B29" s="120" t="s">
        <v>263</v>
      </c>
      <c r="C29" s="120">
        <v>836842.08</v>
      </c>
      <c r="D29" s="121">
        <v>462306.21</v>
      </c>
      <c r="E29" s="121">
        <v>416804.84</v>
      </c>
      <c r="F29" s="159">
        <f t="shared" si="0"/>
        <v>49.806869176559573</v>
      </c>
      <c r="G29" s="120" t="s">
        <v>354</v>
      </c>
    </row>
    <row r="30" spans="1:7" x14ac:dyDescent="0.25">
      <c r="A30" t="s">
        <v>188</v>
      </c>
      <c r="B30" s="120" t="s">
        <v>264</v>
      </c>
      <c r="C30" s="120">
        <v>0</v>
      </c>
      <c r="D30" s="121">
        <v>100</v>
      </c>
      <c r="E30" s="121">
        <v>3.06</v>
      </c>
      <c r="F30" s="159">
        <v>0</v>
      </c>
      <c r="G30" s="120" t="s">
        <v>354</v>
      </c>
    </row>
    <row r="31" spans="1:7" x14ac:dyDescent="0.25">
      <c r="A31" t="s">
        <v>183</v>
      </c>
      <c r="B31" s="120" t="s">
        <v>265</v>
      </c>
      <c r="C31" s="120">
        <v>27299.07</v>
      </c>
      <c r="D31" s="121">
        <v>31000</v>
      </c>
      <c r="E31" s="121">
        <v>30629.86</v>
      </c>
      <c r="F31" s="159">
        <f t="shared" si="0"/>
        <v>112.20111161295972</v>
      </c>
      <c r="G31" s="120" t="s">
        <v>354</v>
      </c>
    </row>
    <row r="32" spans="1:7" x14ac:dyDescent="0.25">
      <c r="A32" t="s">
        <v>189</v>
      </c>
      <c r="B32" s="120" t="s">
        <v>266</v>
      </c>
      <c r="C32" s="120">
        <v>2097.84</v>
      </c>
      <c r="D32" s="121">
        <v>4685.3500000000004</v>
      </c>
      <c r="E32" s="121">
        <v>7682.69</v>
      </c>
      <c r="F32" s="159">
        <f t="shared" si="0"/>
        <v>366.21906341761041</v>
      </c>
      <c r="G32" s="120" t="s">
        <v>354</v>
      </c>
    </row>
    <row r="33" spans="1:7" x14ac:dyDescent="0.25">
      <c r="A33" t="s">
        <v>159</v>
      </c>
      <c r="B33" s="120" t="s">
        <v>267</v>
      </c>
      <c r="C33" s="120">
        <v>17395.66</v>
      </c>
      <c r="D33" s="121">
        <v>19500</v>
      </c>
      <c r="E33" s="121">
        <v>25000.66</v>
      </c>
      <c r="F33" s="159">
        <f t="shared" si="0"/>
        <v>143.71780087677041</v>
      </c>
      <c r="G33" s="120" t="s">
        <v>354</v>
      </c>
    </row>
    <row r="34" spans="1:7" x14ac:dyDescent="0.25">
      <c r="A34" t="s">
        <v>184</v>
      </c>
      <c r="B34" s="120" t="s">
        <v>268</v>
      </c>
      <c r="C34" s="120">
        <v>12000.36</v>
      </c>
      <c r="D34" s="121">
        <v>9743.75</v>
      </c>
      <c r="E34" s="121">
        <v>17719.330000000002</v>
      </c>
      <c r="F34" s="159">
        <f t="shared" si="0"/>
        <v>147.65665363372435</v>
      </c>
      <c r="G34" s="120" t="s">
        <v>354</v>
      </c>
    </row>
    <row r="35" spans="1:7" x14ac:dyDescent="0.25">
      <c r="A35" t="s">
        <v>149</v>
      </c>
      <c r="B35" s="120" t="s">
        <v>269</v>
      </c>
      <c r="C35" s="120">
        <v>17548.87</v>
      </c>
      <c r="D35" s="121">
        <v>14500</v>
      </c>
      <c r="E35" s="121">
        <v>12350</v>
      </c>
      <c r="F35" s="159">
        <f t="shared" si="0"/>
        <v>70.374901631842974</v>
      </c>
      <c r="G35" s="120" t="s">
        <v>354</v>
      </c>
    </row>
    <row r="36" spans="1:7" x14ac:dyDescent="0.25">
      <c r="A36" t="s">
        <v>185</v>
      </c>
      <c r="B36" s="120" t="s">
        <v>270</v>
      </c>
      <c r="C36" s="120">
        <v>37620.33</v>
      </c>
      <c r="D36" s="121">
        <v>10750</v>
      </c>
      <c r="E36" s="121">
        <v>14500.3</v>
      </c>
      <c r="F36" s="159">
        <f t="shared" si="0"/>
        <v>38.543787361780183</v>
      </c>
      <c r="G36" s="120" t="s">
        <v>354</v>
      </c>
    </row>
    <row r="37" spans="1:7" s="117" customFormat="1" x14ac:dyDescent="0.25">
      <c r="A37" s="147" t="s">
        <v>175</v>
      </c>
      <c r="B37" s="148" t="s">
        <v>271</v>
      </c>
      <c r="C37" s="149">
        <f>SUM(C38:C44)</f>
        <v>130724.46</v>
      </c>
      <c r="D37" s="149">
        <f>SUM(D38:D44)</f>
        <v>73008.11</v>
      </c>
      <c r="E37" s="149">
        <v>118129.63</v>
      </c>
      <c r="F37" s="155">
        <f t="shared" si="0"/>
        <v>90.365360851366304</v>
      </c>
      <c r="G37" s="155">
        <f>E37/D37*100</f>
        <v>161.80343526219212</v>
      </c>
    </row>
    <row r="38" spans="1:7" x14ac:dyDescent="0.25">
      <c r="A38" s="142">
        <v>3291</v>
      </c>
      <c r="B38" s="120" t="s">
        <v>352</v>
      </c>
      <c r="C38" s="121">
        <v>0</v>
      </c>
      <c r="D38" s="121">
        <v>7978.8</v>
      </c>
      <c r="E38" s="121">
        <v>13650</v>
      </c>
      <c r="F38" s="159">
        <v>0</v>
      </c>
      <c r="G38" s="120" t="s">
        <v>354</v>
      </c>
    </row>
    <row r="39" spans="1:7" x14ac:dyDescent="0.25">
      <c r="A39" t="s">
        <v>157</v>
      </c>
      <c r="B39" s="120" t="s">
        <v>272</v>
      </c>
      <c r="C39" s="121">
        <v>13920</v>
      </c>
      <c r="D39" s="121">
        <v>13900</v>
      </c>
      <c r="E39" s="121">
        <v>13650</v>
      </c>
      <c r="F39" s="159">
        <f t="shared" si="0"/>
        <v>98.060344827586206</v>
      </c>
      <c r="G39" s="120" t="s">
        <v>354</v>
      </c>
    </row>
    <row r="40" spans="1:7" x14ac:dyDescent="0.25">
      <c r="A40" t="s">
        <v>141</v>
      </c>
      <c r="B40" s="120" t="s">
        <v>273</v>
      </c>
      <c r="C40" s="121">
        <v>106.94</v>
      </c>
      <c r="D40" s="121">
        <v>3500</v>
      </c>
      <c r="E40" s="121">
        <v>6192.02</v>
      </c>
      <c r="F40" s="159">
        <f t="shared" si="0"/>
        <v>5790.1814101365253</v>
      </c>
      <c r="G40" s="120" t="s">
        <v>354</v>
      </c>
    </row>
    <row r="41" spans="1:7" x14ac:dyDescent="0.25">
      <c r="A41" s="142">
        <v>3294</v>
      </c>
      <c r="B41" s="120" t="s">
        <v>353</v>
      </c>
      <c r="C41" s="121">
        <v>1000</v>
      </c>
      <c r="D41" s="121">
        <v>1200</v>
      </c>
      <c r="E41" s="121">
        <v>20450</v>
      </c>
      <c r="F41" s="159">
        <f t="shared" si="0"/>
        <v>2045</v>
      </c>
      <c r="G41" s="120" t="s">
        <v>354</v>
      </c>
    </row>
    <row r="42" spans="1:7" x14ac:dyDescent="0.25">
      <c r="A42" t="s">
        <v>161</v>
      </c>
      <c r="B42" s="120" t="s">
        <v>274</v>
      </c>
      <c r="C42" s="121">
        <v>20565</v>
      </c>
      <c r="D42" s="121">
        <v>20500</v>
      </c>
      <c r="E42" s="121">
        <v>20450</v>
      </c>
      <c r="F42" s="159">
        <f t="shared" si="0"/>
        <v>99.440797471432035</v>
      </c>
      <c r="G42" s="120" t="s">
        <v>354</v>
      </c>
    </row>
    <row r="43" spans="1:7" x14ac:dyDescent="0.25">
      <c r="A43" t="s">
        <v>162</v>
      </c>
      <c r="B43" s="120" t="s">
        <v>275</v>
      </c>
      <c r="C43" s="121">
        <v>74321.990000000005</v>
      </c>
      <c r="D43" s="121">
        <v>0</v>
      </c>
      <c r="E43" s="121">
        <v>37163.22</v>
      </c>
      <c r="F43" s="159">
        <f t="shared" si="0"/>
        <v>50.002993730388546</v>
      </c>
      <c r="G43" s="120" t="s">
        <v>354</v>
      </c>
    </row>
    <row r="44" spans="1:7" x14ac:dyDescent="0.25">
      <c r="A44" t="s">
        <v>143</v>
      </c>
      <c r="B44" s="120" t="s">
        <v>271</v>
      </c>
      <c r="C44" s="121">
        <v>20810.53</v>
      </c>
      <c r="D44" s="121">
        <v>25929.31</v>
      </c>
      <c r="E44" s="121">
        <v>39474.39</v>
      </c>
      <c r="F44" s="159">
        <f t="shared" si="0"/>
        <v>189.68469327787423</v>
      </c>
      <c r="G44" s="120" t="s">
        <v>354</v>
      </c>
    </row>
    <row r="45" spans="1:7" s="117" customFormat="1" x14ac:dyDescent="0.25">
      <c r="A45" s="144" t="s">
        <v>186</v>
      </c>
      <c r="B45" s="145" t="s">
        <v>79</v>
      </c>
      <c r="C45" s="146">
        <f>C46</f>
        <v>56537.35</v>
      </c>
      <c r="D45" s="146">
        <f>D46</f>
        <v>8700</v>
      </c>
      <c r="E45" s="146">
        <v>34674.06</v>
      </c>
      <c r="F45" s="154">
        <f t="shared" si="0"/>
        <v>61.32947511689175</v>
      </c>
      <c r="G45" s="154">
        <f>E45/D45*100</f>
        <v>398.55241379310343</v>
      </c>
    </row>
    <row r="46" spans="1:7" s="117" customFormat="1" x14ac:dyDescent="0.25">
      <c r="A46" s="147" t="s">
        <v>187</v>
      </c>
      <c r="B46" s="148" t="s">
        <v>276</v>
      </c>
      <c r="C46" s="149">
        <f>SUM(C47:C48)</f>
        <v>56537.35</v>
      </c>
      <c r="D46" s="149">
        <f>SUM(D47:D48)</f>
        <v>8700</v>
      </c>
      <c r="E46" s="149">
        <v>34674.06</v>
      </c>
      <c r="F46" s="155">
        <f t="shared" si="0"/>
        <v>61.32947511689175</v>
      </c>
      <c r="G46" s="155">
        <f>E46/D46*100</f>
        <v>398.55241379310343</v>
      </c>
    </row>
    <row r="47" spans="1:7" x14ac:dyDescent="0.25">
      <c r="A47" t="s">
        <v>140</v>
      </c>
      <c r="B47" s="120" t="s">
        <v>277</v>
      </c>
      <c r="C47" s="121">
        <v>7516.38</v>
      </c>
      <c r="D47" s="121">
        <v>8600</v>
      </c>
      <c r="E47" s="121">
        <v>7872.82</v>
      </c>
      <c r="F47" s="159">
        <f>E47/C47*100</f>
        <v>104.74217642003198</v>
      </c>
      <c r="G47" s="120" t="s">
        <v>354</v>
      </c>
    </row>
    <row r="48" spans="1:7" x14ac:dyDescent="0.25">
      <c r="A48" t="s">
        <v>152</v>
      </c>
      <c r="B48" s="120" t="s">
        <v>278</v>
      </c>
      <c r="C48" s="121">
        <v>49020.97</v>
      </c>
      <c r="D48" s="121">
        <v>100</v>
      </c>
      <c r="E48" s="121">
        <v>26801.24</v>
      </c>
      <c r="F48" s="159">
        <f t="shared" si="0"/>
        <v>54.673010346388494</v>
      </c>
      <c r="G48" s="120" t="s">
        <v>354</v>
      </c>
    </row>
    <row r="49" spans="1:7" s="117" customFormat="1" x14ac:dyDescent="0.25">
      <c r="A49" s="144" t="s">
        <v>190</v>
      </c>
      <c r="B49" s="145" t="s">
        <v>279</v>
      </c>
      <c r="C49" s="145">
        <v>0</v>
      </c>
      <c r="D49" s="146">
        <f>D50</f>
        <v>18312.25</v>
      </c>
      <c r="E49" s="146">
        <v>23342.11</v>
      </c>
      <c r="F49" s="154">
        <v>0</v>
      </c>
      <c r="G49" s="154">
        <f>E49/D49*100</f>
        <v>127.46718726535515</v>
      </c>
    </row>
    <row r="50" spans="1:7" s="117" customFormat="1" x14ac:dyDescent="0.25">
      <c r="A50" s="147" t="s">
        <v>191</v>
      </c>
      <c r="B50" s="148" t="s">
        <v>280</v>
      </c>
      <c r="C50" s="148">
        <v>0</v>
      </c>
      <c r="D50" s="149">
        <f>SUM(D51)</f>
        <v>18312.25</v>
      </c>
      <c r="E50" s="149">
        <v>23342.11</v>
      </c>
      <c r="F50" s="155">
        <v>0</v>
      </c>
      <c r="G50" s="155">
        <f>E50/D50*100</f>
        <v>127.46718726535515</v>
      </c>
    </row>
    <row r="51" spans="1:7" x14ac:dyDescent="0.25">
      <c r="A51" t="s">
        <v>192</v>
      </c>
      <c r="B51" s="120" t="s">
        <v>281</v>
      </c>
      <c r="C51" s="120">
        <v>0</v>
      </c>
      <c r="D51" s="121">
        <v>18312.25</v>
      </c>
      <c r="E51" s="121">
        <v>23342.11</v>
      </c>
      <c r="F51" s="159">
        <v>0</v>
      </c>
      <c r="G51" s="120" t="s">
        <v>354</v>
      </c>
    </row>
    <row r="52" spans="1:7" s="117" customFormat="1" x14ac:dyDescent="0.25">
      <c r="A52" s="157">
        <v>38</v>
      </c>
      <c r="B52" s="145" t="s">
        <v>207</v>
      </c>
      <c r="C52" s="146">
        <f>C53</f>
        <v>20050.11</v>
      </c>
      <c r="D52" s="146">
        <f>D53</f>
        <v>0</v>
      </c>
      <c r="E52" s="146">
        <f>E53</f>
        <v>0</v>
      </c>
      <c r="F52" s="154">
        <f t="shared" ref="F52:F59" si="2">E52/C52*100</f>
        <v>0</v>
      </c>
      <c r="G52" s="154">
        <v>0</v>
      </c>
    </row>
    <row r="53" spans="1:7" s="117" customFormat="1" x14ac:dyDescent="0.25">
      <c r="A53" s="158">
        <v>381</v>
      </c>
      <c r="B53" s="148" t="s">
        <v>322</v>
      </c>
      <c r="C53" s="149">
        <f>SUM(C54)</f>
        <v>20050.11</v>
      </c>
      <c r="D53" s="149">
        <f>SUM(D54)</f>
        <v>0</v>
      </c>
      <c r="E53" s="149">
        <f>SUM(E54)</f>
        <v>0</v>
      </c>
      <c r="F53" s="155">
        <f t="shared" si="2"/>
        <v>0</v>
      </c>
      <c r="G53" s="155">
        <v>0</v>
      </c>
    </row>
    <row r="54" spans="1:7" x14ac:dyDescent="0.25">
      <c r="A54" s="142">
        <v>3811</v>
      </c>
      <c r="B54" s="120" t="s">
        <v>82</v>
      </c>
      <c r="C54" s="121">
        <v>20050.11</v>
      </c>
      <c r="D54" s="121">
        <v>0</v>
      </c>
      <c r="E54" s="121">
        <v>0</v>
      </c>
      <c r="F54" s="159">
        <f t="shared" si="2"/>
        <v>0</v>
      </c>
      <c r="G54" s="120" t="s">
        <v>354</v>
      </c>
    </row>
    <row r="55" spans="1:7" s="117" customFormat="1" x14ac:dyDescent="0.25">
      <c r="A55" s="150" t="s">
        <v>194</v>
      </c>
      <c r="B55" s="151" t="s">
        <v>5</v>
      </c>
      <c r="C55" s="152">
        <f>C56+C65</f>
        <v>314663.05</v>
      </c>
      <c r="D55" s="152">
        <f>D56+D65</f>
        <v>704509.19</v>
      </c>
      <c r="E55" s="152">
        <v>682056.56</v>
      </c>
      <c r="F55" s="156">
        <f t="shared" si="2"/>
        <v>216.7577540483384</v>
      </c>
      <c r="G55" s="156">
        <f>E55/D55*100</f>
        <v>96.813011055256794</v>
      </c>
    </row>
    <row r="56" spans="1:7" s="117" customFormat="1" x14ac:dyDescent="0.25">
      <c r="A56" s="144" t="s">
        <v>195</v>
      </c>
      <c r="B56" s="145" t="s">
        <v>282</v>
      </c>
      <c r="C56" s="146">
        <f>C57+C59+C63</f>
        <v>300913.05</v>
      </c>
      <c r="D56" s="146">
        <f>D57+D59+D63</f>
        <v>462009.19</v>
      </c>
      <c r="E56" s="146">
        <v>439556.56</v>
      </c>
      <c r="F56" s="154">
        <f t="shared" si="2"/>
        <v>146.07427627349497</v>
      </c>
      <c r="G56" s="154">
        <f>E56/D56*100</f>
        <v>95.140220046272233</v>
      </c>
    </row>
    <row r="57" spans="1:7" s="117" customFormat="1" x14ac:dyDescent="0.25">
      <c r="A57" s="147" t="s">
        <v>197</v>
      </c>
      <c r="B57" s="148" t="s">
        <v>283</v>
      </c>
      <c r="C57" s="149">
        <f>SUM(C58)</f>
        <v>0</v>
      </c>
      <c r="D57" s="149">
        <f>SUM(D58)</f>
        <v>230000</v>
      </c>
      <c r="E57" s="149">
        <v>224968.75</v>
      </c>
      <c r="F57" s="155">
        <v>0</v>
      </c>
      <c r="G57" s="155">
        <f>E57/D57*100</f>
        <v>97.8125</v>
      </c>
    </row>
    <row r="58" spans="1:7" x14ac:dyDescent="0.25">
      <c r="A58" t="s">
        <v>198</v>
      </c>
      <c r="B58" s="120" t="s">
        <v>284</v>
      </c>
      <c r="C58" s="120">
        <v>0</v>
      </c>
      <c r="D58" s="121">
        <v>230000</v>
      </c>
      <c r="E58" s="121">
        <v>224968.75</v>
      </c>
      <c r="F58" s="159">
        <v>0</v>
      </c>
      <c r="G58" s="120" t="s">
        <v>354</v>
      </c>
    </row>
    <row r="59" spans="1:7" s="117" customFormat="1" x14ac:dyDescent="0.25">
      <c r="A59" s="147" t="s">
        <v>204</v>
      </c>
      <c r="B59" s="148" t="s">
        <v>285</v>
      </c>
      <c r="C59" s="149">
        <f>SUM(C60:C62)</f>
        <v>253868.4</v>
      </c>
      <c r="D59" s="149">
        <f>SUM(D60:D62)</f>
        <v>161209.19</v>
      </c>
      <c r="E59" s="149">
        <v>195650.91</v>
      </c>
      <c r="F59" s="155">
        <f t="shared" si="2"/>
        <v>77.067846963229769</v>
      </c>
      <c r="G59" s="155">
        <f>E59/D59*100</f>
        <v>121.36461327049655</v>
      </c>
    </row>
    <row r="60" spans="1:7" x14ac:dyDescent="0.25">
      <c r="A60" t="s">
        <v>153</v>
      </c>
      <c r="B60" s="120" t="s">
        <v>286</v>
      </c>
      <c r="C60" s="121">
        <v>211729.9</v>
      </c>
      <c r="D60" s="121">
        <v>121209.19</v>
      </c>
      <c r="E60" s="121">
        <v>137321.69</v>
      </c>
      <c r="F60" s="159">
        <f t="shared" si="0"/>
        <v>64.857013581926793</v>
      </c>
      <c r="G60" s="120" t="s">
        <v>354</v>
      </c>
    </row>
    <row r="61" spans="1:7" x14ac:dyDescent="0.25">
      <c r="A61" s="142">
        <v>4222</v>
      </c>
      <c r="C61" s="120">
        <v>0</v>
      </c>
      <c r="D61" s="121">
        <v>0</v>
      </c>
      <c r="E61" s="121">
        <v>137321.69</v>
      </c>
      <c r="F61" s="159">
        <v>0</v>
      </c>
      <c r="G61" s="120" t="s">
        <v>354</v>
      </c>
    </row>
    <row r="62" spans="1:7" x14ac:dyDescent="0.25">
      <c r="A62" t="s">
        <v>155</v>
      </c>
      <c r="B62" s="120" t="s">
        <v>287</v>
      </c>
      <c r="C62" s="120">
        <v>42138.5</v>
      </c>
      <c r="D62" s="121">
        <v>40000</v>
      </c>
      <c r="E62" s="121">
        <v>58329.22</v>
      </c>
      <c r="F62" s="159">
        <f t="shared" ref="F62:F63" si="3">E62/C62*100</f>
        <v>138.42263013633612</v>
      </c>
      <c r="G62" s="120" t="s">
        <v>354</v>
      </c>
    </row>
    <row r="63" spans="1:7" s="117" customFormat="1" x14ac:dyDescent="0.25">
      <c r="A63" s="147" t="s">
        <v>205</v>
      </c>
      <c r="B63" s="148" t="s">
        <v>288</v>
      </c>
      <c r="C63" s="149">
        <f>SUM(C64)</f>
        <v>47044.65</v>
      </c>
      <c r="D63" s="149">
        <f>SUM(D64)</f>
        <v>70800</v>
      </c>
      <c r="E63" s="149">
        <v>18936.900000000001</v>
      </c>
      <c r="F63" s="155">
        <f t="shared" si="3"/>
        <v>40.253036211343904</v>
      </c>
      <c r="G63" s="155">
        <f>E63/D63*100</f>
        <v>26.747033898305091</v>
      </c>
    </row>
    <row r="64" spans="1:7" x14ac:dyDescent="0.25">
      <c r="A64" t="s">
        <v>156</v>
      </c>
      <c r="B64" s="120" t="s">
        <v>289</v>
      </c>
      <c r="C64" s="121">
        <v>47044.65</v>
      </c>
      <c r="D64" s="121">
        <v>70800</v>
      </c>
      <c r="E64" s="121">
        <v>18936.900000000001</v>
      </c>
      <c r="F64" s="159">
        <f t="shared" si="0"/>
        <v>40.253036211343904</v>
      </c>
      <c r="G64" s="120" t="s">
        <v>354</v>
      </c>
    </row>
    <row r="65" spans="1:7" s="117" customFormat="1" x14ac:dyDescent="0.25">
      <c r="A65" s="144" t="s">
        <v>199</v>
      </c>
      <c r="B65" s="145" t="s">
        <v>290</v>
      </c>
      <c r="C65" s="146">
        <f>C66</f>
        <v>13750</v>
      </c>
      <c r="D65" s="146">
        <f>D66</f>
        <v>242500</v>
      </c>
      <c r="E65" s="146">
        <v>242500</v>
      </c>
      <c r="F65" s="154">
        <f t="shared" si="0"/>
        <v>1763.6363636363637</v>
      </c>
      <c r="G65" s="154">
        <f>E65/D65*100</f>
        <v>100</v>
      </c>
    </row>
    <row r="66" spans="1:7" s="117" customFormat="1" x14ac:dyDescent="0.25">
      <c r="A66" s="147" t="s">
        <v>200</v>
      </c>
      <c r="B66" s="148" t="s">
        <v>291</v>
      </c>
      <c r="C66" s="149">
        <f>SUM(C67)</f>
        <v>13750</v>
      </c>
      <c r="D66" s="149">
        <f>SUM(D67)</f>
        <v>242500</v>
      </c>
      <c r="E66" s="149">
        <v>242500</v>
      </c>
      <c r="F66" s="155">
        <f t="shared" si="0"/>
        <v>1763.6363636363637</v>
      </c>
      <c r="G66" s="155">
        <f>E66/D66*100</f>
        <v>100</v>
      </c>
    </row>
    <row r="67" spans="1:7" x14ac:dyDescent="0.25">
      <c r="A67" t="s">
        <v>202</v>
      </c>
      <c r="B67" s="120" t="s">
        <v>291</v>
      </c>
      <c r="C67" s="121">
        <v>13750</v>
      </c>
      <c r="D67" s="121">
        <v>242500</v>
      </c>
      <c r="E67" s="121">
        <v>242500</v>
      </c>
      <c r="F67" s="159">
        <f t="shared" si="0"/>
        <v>1763.6363636363637</v>
      </c>
      <c r="G67" s="120" t="s">
        <v>354</v>
      </c>
    </row>
    <row r="69" spans="1:7" x14ac:dyDescent="0.25">
      <c r="A69" t="s">
        <v>223</v>
      </c>
      <c r="C69" t="s">
        <v>224</v>
      </c>
      <c r="E69" t="s">
        <v>225</v>
      </c>
    </row>
    <row r="70" spans="1:7" x14ac:dyDescent="0.25">
      <c r="A70" t="s">
        <v>226</v>
      </c>
      <c r="C70" t="s">
        <v>227</v>
      </c>
      <c r="E70" t="s">
        <v>228</v>
      </c>
    </row>
  </sheetData>
  <mergeCells count="2">
    <mergeCell ref="A2:G2"/>
    <mergeCell ref="A1:G1"/>
  </mergeCells>
  <pageMargins left="0.7" right="0.7" top="0.75" bottom="0.75" header="0.3" footer="0.3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view="pageBreakPreview" topLeftCell="A17" zoomScaleNormal="100" zoomScaleSheetLayoutView="100" workbookViewId="0">
      <selection activeCell="F18" sqref="F18"/>
    </sheetView>
  </sheetViews>
  <sheetFormatPr defaultRowHeight="15" x14ac:dyDescent="0.25"/>
  <cols>
    <col min="1" max="1" width="5.42578125" bestFit="1" customWidth="1"/>
    <col min="2" max="2" width="27.28515625" customWidth="1"/>
    <col min="3" max="3" width="16.5703125" customWidth="1"/>
    <col min="4" max="4" width="15.7109375" customWidth="1"/>
    <col min="5" max="5" width="16.85546875" style="44" customWidth="1"/>
    <col min="6" max="6" width="13.140625" style="44" customWidth="1"/>
    <col min="7" max="7" width="12.28515625" style="44" customWidth="1"/>
    <col min="8" max="8" width="10.85546875" bestFit="1" customWidth="1"/>
    <col min="9" max="9" width="11.7109375" hidden="1" customWidth="1"/>
    <col min="10" max="10" width="10.85546875" hidden="1" customWidth="1"/>
    <col min="11" max="11" width="11.7109375" hidden="1" customWidth="1"/>
    <col min="12" max="12" width="0" hidden="1" customWidth="1"/>
    <col min="13" max="13" width="11.140625" hidden="1" customWidth="1"/>
    <col min="14" max="14" width="0" hidden="1" customWidth="1"/>
    <col min="15" max="15" width="11.140625" hidden="1" customWidth="1"/>
    <col min="16" max="16" width="11.7109375" bestFit="1" customWidth="1"/>
    <col min="17" max="17" width="29" customWidth="1"/>
  </cols>
  <sheetData>
    <row r="1" spans="1:17" x14ac:dyDescent="0.25">
      <c r="A1" s="190" t="s">
        <v>342</v>
      </c>
      <c r="B1" s="190"/>
      <c r="C1" s="190"/>
      <c r="D1" s="190"/>
      <c r="E1" s="190"/>
      <c r="F1" s="190"/>
      <c r="G1" s="190"/>
      <c r="H1" s="166"/>
    </row>
    <row r="2" spans="1:17" ht="18" x14ac:dyDescent="0.25">
      <c r="A2" s="4"/>
      <c r="B2" s="47"/>
      <c r="C2" s="4"/>
      <c r="D2" s="47"/>
      <c r="E2" s="47"/>
      <c r="F2" s="48"/>
      <c r="G2" s="48"/>
      <c r="I2" t="s">
        <v>137</v>
      </c>
      <c r="K2" t="s">
        <v>138</v>
      </c>
      <c r="M2" t="s">
        <v>219</v>
      </c>
    </row>
    <row r="3" spans="1:17" ht="27.75" customHeight="1" x14ac:dyDescent="0.25">
      <c r="A3" s="192" t="s">
        <v>343</v>
      </c>
      <c r="B3" s="193"/>
      <c r="C3" s="11" t="s">
        <v>11</v>
      </c>
      <c r="D3" s="12" t="s">
        <v>345</v>
      </c>
      <c r="E3" s="49" t="s">
        <v>229</v>
      </c>
      <c r="F3" s="49" t="s">
        <v>350</v>
      </c>
      <c r="G3" s="49" t="s">
        <v>351</v>
      </c>
    </row>
    <row r="4" spans="1:17" x14ac:dyDescent="0.25">
      <c r="A4" s="194">
        <v>1</v>
      </c>
      <c r="B4" s="195"/>
      <c r="C4" s="141">
        <v>2</v>
      </c>
      <c r="D4" s="141">
        <v>3</v>
      </c>
      <c r="E4" s="141">
        <v>4</v>
      </c>
      <c r="F4" s="141">
        <v>5</v>
      </c>
      <c r="G4" s="141">
        <v>6</v>
      </c>
    </row>
    <row r="5" spans="1:17" x14ac:dyDescent="0.25">
      <c r="A5" s="133" t="s">
        <v>136</v>
      </c>
      <c r="B5" s="134" t="s">
        <v>118</v>
      </c>
      <c r="C5" s="136"/>
      <c r="D5" s="136"/>
      <c r="E5" s="136"/>
      <c r="F5" s="136"/>
      <c r="G5" s="136"/>
    </row>
    <row r="6" spans="1:17" s="57" customFormat="1" ht="15.75" customHeight="1" x14ac:dyDescent="0.25">
      <c r="A6" s="130"/>
      <c r="B6" s="131" t="s">
        <v>13</v>
      </c>
      <c r="C6" s="132">
        <v>21359.54</v>
      </c>
      <c r="D6" s="132">
        <v>18312.25</v>
      </c>
      <c r="E6" s="132">
        <v>18312.25</v>
      </c>
      <c r="F6" s="132">
        <f>E6/C6*100</f>
        <v>85.733353808181249</v>
      </c>
      <c r="G6" s="132">
        <f>E6/D6*100</f>
        <v>100</v>
      </c>
      <c r="I6" s="112">
        <f>E6+E38</f>
        <v>22312.25</v>
      </c>
      <c r="K6" s="112" t="e">
        <f>#REF!+#REF!</f>
        <v>#REF!</v>
      </c>
      <c r="M6" s="112" t="e">
        <f>K6-I6</f>
        <v>#REF!</v>
      </c>
    </row>
    <row r="7" spans="1:17" s="57" customFormat="1" ht="15.75" customHeight="1" x14ac:dyDescent="0.25">
      <c r="A7" s="130"/>
      <c r="B7" s="131" t="s">
        <v>16</v>
      </c>
      <c r="C7" s="132">
        <f>21359.54-2111.38</f>
        <v>19248.16</v>
      </c>
      <c r="D7" s="132">
        <f>'POSEBNI DIO'!F357</f>
        <v>18312.25</v>
      </c>
      <c r="E7" s="132">
        <f>'POSEBNI DIO'!G357</f>
        <v>23342.1</v>
      </c>
      <c r="F7" s="132">
        <f>E7/C7*100</f>
        <v>121.26925378841405</v>
      </c>
      <c r="G7" s="132">
        <f>E7/D7*100</f>
        <v>127.46713265710112</v>
      </c>
      <c r="I7" s="112"/>
      <c r="P7" s="112">
        <f>C6+C10+C14+C18</f>
        <v>1619045.67</v>
      </c>
      <c r="Q7" s="112">
        <f>1614045.67-P7</f>
        <v>-5000</v>
      </c>
    </row>
    <row r="8" spans="1:17" s="57" customFormat="1" ht="15.75" customHeight="1" x14ac:dyDescent="0.25">
      <c r="A8" s="130"/>
      <c r="B8" s="131" t="s">
        <v>344</v>
      </c>
      <c r="C8" s="132">
        <f>C6-C7</f>
        <v>2111.380000000001</v>
      </c>
      <c r="D8" s="132">
        <f t="shared" ref="D8:E8" si="0">D6-D7</f>
        <v>0</v>
      </c>
      <c r="E8" s="132">
        <f t="shared" si="0"/>
        <v>-5029.8499999999985</v>
      </c>
      <c r="F8" s="132"/>
      <c r="G8" s="132"/>
      <c r="I8" s="112"/>
    </row>
    <row r="9" spans="1:17" x14ac:dyDescent="0.25">
      <c r="A9" s="133" t="s">
        <v>28</v>
      </c>
      <c r="B9" s="134" t="s">
        <v>14</v>
      </c>
      <c r="C9" s="136"/>
      <c r="D9" s="136"/>
      <c r="E9" s="136"/>
      <c r="F9" s="136"/>
      <c r="G9" s="136"/>
    </row>
    <row r="10" spans="1:17" s="57" customFormat="1" ht="15.75" customHeight="1" x14ac:dyDescent="0.25">
      <c r="A10" s="130"/>
      <c r="B10" s="131" t="s">
        <v>13</v>
      </c>
      <c r="C10" s="132">
        <f>5000+130525.68+10830.96+73125.21+5000</f>
        <v>224481.84999999998</v>
      </c>
      <c r="D10" s="132">
        <f>1096937.36</f>
        <v>1096937.3600000001</v>
      </c>
      <c r="E10" s="132">
        <f>1068239.46+23666.65</f>
        <v>1091906.1099999999</v>
      </c>
      <c r="F10" s="132">
        <f>E10/C10*100</f>
        <v>486.41175667431457</v>
      </c>
      <c r="G10" s="132">
        <f t="shared" ref="G10:G11" si="1">E10/D10*100</f>
        <v>99.541336617434538</v>
      </c>
      <c r="I10" s="112" t="e">
        <f>E10+#REF!</f>
        <v>#REF!</v>
      </c>
      <c r="K10" s="112" t="e">
        <f>E45+#REF!</f>
        <v>#REF!</v>
      </c>
      <c r="M10" s="112" t="e">
        <f>K10-I10</f>
        <v>#REF!</v>
      </c>
    </row>
    <row r="11" spans="1:17" s="57" customFormat="1" ht="15.75" customHeight="1" x14ac:dyDescent="0.25">
      <c r="A11" s="130"/>
      <c r="B11" s="131" t="s">
        <v>16</v>
      </c>
      <c r="C11" s="132">
        <f>C10-5000-5000</f>
        <v>214481.84999999998</v>
      </c>
      <c r="D11" s="132">
        <f>'POSEBNI DIO'!F359</f>
        <v>1096937.3600000001</v>
      </c>
      <c r="E11" s="132">
        <f>'POSEBNI DIO'!G359</f>
        <v>1068239.46</v>
      </c>
      <c r="F11" s="132">
        <f>E11/C11*100</f>
        <v>498.05587745536519</v>
      </c>
      <c r="G11" s="132">
        <f t="shared" si="1"/>
        <v>97.383815972864653</v>
      </c>
      <c r="I11" s="112"/>
    </row>
    <row r="12" spans="1:17" s="57" customFormat="1" ht="15.75" customHeight="1" x14ac:dyDescent="0.25">
      <c r="A12" s="130"/>
      <c r="B12" s="131" t="s">
        <v>344</v>
      </c>
      <c r="C12" s="132">
        <f>C10-C11</f>
        <v>10000</v>
      </c>
      <c r="D12" s="132">
        <f t="shared" ref="D12" si="2">D10-D11</f>
        <v>0</v>
      </c>
      <c r="E12" s="132">
        <f t="shared" ref="E12" si="3">E10-E11</f>
        <v>23666.649999999907</v>
      </c>
      <c r="F12" s="132"/>
      <c r="G12" s="132"/>
      <c r="I12" s="112"/>
    </row>
    <row r="13" spans="1:17" s="137" customFormat="1" x14ac:dyDescent="0.25">
      <c r="A13" s="133" t="s">
        <v>130</v>
      </c>
      <c r="B13" s="134" t="s">
        <v>131</v>
      </c>
      <c r="C13" s="135"/>
      <c r="D13" s="136"/>
      <c r="E13" s="136"/>
      <c r="F13" s="136"/>
      <c r="G13" s="136"/>
      <c r="I13" s="138"/>
    </row>
    <row r="14" spans="1:17" s="113" customFormat="1" ht="15.75" customHeight="1" x14ac:dyDescent="0.25">
      <c r="A14" s="130"/>
      <c r="B14" s="131" t="s">
        <v>13</v>
      </c>
      <c r="C14" s="132">
        <f>378725.49+175000+13750+720118+3913.04</f>
        <v>1291506.53</v>
      </c>
      <c r="D14" s="132">
        <v>384223.9</v>
      </c>
      <c r="E14" s="132">
        <v>384223.9</v>
      </c>
      <c r="F14" s="132">
        <f>E14/C14*100</f>
        <v>29.750054767435053</v>
      </c>
      <c r="G14" s="132">
        <f>E14/D14*100</f>
        <v>100</v>
      </c>
      <c r="I14" s="114" t="e">
        <f>E14+#REF!</f>
        <v>#REF!</v>
      </c>
      <c r="K14" s="114" t="e">
        <f>#REF!+E57</f>
        <v>#REF!</v>
      </c>
      <c r="M14" s="114" t="e">
        <f>K14-I14</f>
        <v>#REF!</v>
      </c>
    </row>
    <row r="15" spans="1:17" s="113" customFormat="1" ht="15.75" customHeight="1" x14ac:dyDescent="0.25">
      <c r="A15" s="130"/>
      <c r="B15" s="131" t="s">
        <v>16</v>
      </c>
      <c r="C15" s="132">
        <f>C14</f>
        <v>1291506.53</v>
      </c>
      <c r="D15" s="132">
        <f>'POSEBNI DIO'!F358</f>
        <v>384223.9</v>
      </c>
      <c r="E15" s="132">
        <f>'POSEBNI DIO'!G358</f>
        <v>384223.9</v>
      </c>
      <c r="F15" s="132">
        <f>E15/C15*100</f>
        <v>29.750054767435053</v>
      </c>
      <c r="G15" s="132">
        <f>E15/D15*100</f>
        <v>100</v>
      </c>
      <c r="I15" s="114"/>
    </row>
    <row r="16" spans="1:17" s="113" customFormat="1" ht="15.75" customHeight="1" x14ac:dyDescent="0.25">
      <c r="A16" s="130"/>
      <c r="B16" s="131" t="s">
        <v>344</v>
      </c>
      <c r="C16" s="132">
        <f>C14-C15</f>
        <v>0</v>
      </c>
      <c r="D16" s="132">
        <f t="shared" ref="D16" si="4">D14-D15</f>
        <v>0</v>
      </c>
      <c r="E16" s="132">
        <f t="shared" ref="E16" si="5">E14-E15</f>
        <v>0</v>
      </c>
      <c r="F16" s="132"/>
      <c r="G16" s="132"/>
      <c r="I16" s="114"/>
    </row>
    <row r="17" spans="1:13" ht="25.5" x14ac:dyDescent="0.25">
      <c r="A17" s="133" t="s">
        <v>203</v>
      </c>
      <c r="B17" s="134" t="s">
        <v>110</v>
      </c>
      <c r="C17" s="136"/>
      <c r="D17" s="136"/>
      <c r="E17" s="136"/>
      <c r="F17" s="136"/>
      <c r="G17" s="136"/>
    </row>
    <row r="18" spans="1:13" s="57" customFormat="1" ht="15.75" customHeight="1" x14ac:dyDescent="0.25">
      <c r="A18" s="130"/>
      <c r="B18" s="131" t="s">
        <v>13</v>
      </c>
      <c r="C18" s="132">
        <f>20322.41+61375.34</f>
        <v>81697.75</v>
      </c>
      <c r="D18" s="132">
        <f>83701.51+159159.1</f>
        <v>242860.61</v>
      </c>
      <c r="E18" s="132">
        <v>242860.62</v>
      </c>
      <c r="F18" s="132">
        <f>E18/C18*100</f>
        <v>297.26720748123421</v>
      </c>
      <c r="G18" s="132">
        <f t="shared" ref="G18:G19" si="6">E18/D18*100</f>
        <v>100.00000411758828</v>
      </c>
      <c r="I18" s="112">
        <f>E18+E45</f>
        <v>242860.62</v>
      </c>
      <c r="K18" s="112" t="e">
        <f>#REF!+#REF!</f>
        <v>#REF!</v>
      </c>
      <c r="M18" s="112" t="e">
        <f>K18-I18</f>
        <v>#REF!</v>
      </c>
    </row>
    <row r="19" spans="1:13" s="57" customFormat="1" ht="15.75" customHeight="1" x14ac:dyDescent="0.25">
      <c r="A19" s="130"/>
      <c r="B19" s="131" t="s">
        <v>16</v>
      </c>
      <c r="C19" s="132">
        <f>C18</f>
        <v>81697.75</v>
      </c>
      <c r="D19" s="132">
        <f>'POSEBNI DIO'!F360</f>
        <v>242860.61000000002</v>
      </c>
      <c r="E19" s="132">
        <f>'POSEBNI DIO'!G360</f>
        <v>242860.62</v>
      </c>
      <c r="F19" s="132">
        <f>E19/C19*100</f>
        <v>297.26720748123421</v>
      </c>
      <c r="G19" s="132">
        <f t="shared" si="6"/>
        <v>100.00000411758828</v>
      </c>
      <c r="I19" s="112"/>
    </row>
    <row r="20" spans="1:13" s="57" customFormat="1" ht="15.75" customHeight="1" x14ac:dyDescent="0.25">
      <c r="A20" s="130"/>
      <c r="B20" s="131" t="s">
        <v>344</v>
      </c>
      <c r="C20" s="132">
        <f>C18-C19</f>
        <v>0</v>
      </c>
      <c r="D20" s="132">
        <f t="shared" ref="D20" si="7">D18-D19</f>
        <v>0</v>
      </c>
      <c r="E20" s="132">
        <f t="shared" ref="E20" si="8">E18-E19</f>
        <v>0</v>
      </c>
      <c r="F20" s="132"/>
      <c r="G20" s="132"/>
      <c r="I20" s="112"/>
    </row>
    <row r="21" spans="1:13" x14ac:dyDescent="0.25">
      <c r="A21" s="128" t="s">
        <v>29</v>
      </c>
      <c r="B21" s="128" t="s">
        <v>24</v>
      </c>
      <c r="C21" s="127"/>
      <c r="D21" s="129"/>
      <c r="E21" s="129"/>
      <c r="F21" s="129"/>
      <c r="G21" s="129"/>
    </row>
    <row r="22" spans="1:13" s="57" customFormat="1" ht="15.75" customHeight="1" x14ac:dyDescent="0.25">
      <c r="A22" s="130"/>
      <c r="B22" s="131" t="s">
        <v>13</v>
      </c>
      <c r="C22" s="132">
        <v>9809.59</v>
      </c>
      <c r="D22" s="132">
        <v>3000</v>
      </c>
      <c r="E22" s="132">
        <v>2476.69</v>
      </c>
      <c r="F22" s="132">
        <f>E22/C22*100</f>
        <v>25.247640319320176</v>
      </c>
      <c r="G22" s="132">
        <f t="shared" ref="G22:G23" si="9">E22/D22*100</f>
        <v>82.556333333333328</v>
      </c>
      <c r="I22" s="112" t="e">
        <f>E22+#REF!</f>
        <v>#REF!</v>
      </c>
      <c r="K22" s="112" t="e">
        <f>#REF!+#REF!</f>
        <v>#REF!</v>
      </c>
      <c r="M22" s="112" t="e">
        <f>K22-I22</f>
        <v>#REF!</v>
      </c>
    </row>
    <row r="23" spans="1:13" s="57" customFormat="1" ht="15.75" customHeight="1" x14ac:dyDescent="0.25">
      <c r="A23" s="130"/>
      <c r="B23" s="131" t="s">
        <v>16</v>
      </c>
      <c r="C23" s="132">
        <f>2601.25+38181.58</f>
        <v>40782.83</v>
      </c>
      <c r="D23" s="132">
        <f>'POSEBNI DIO'!F361</f>
        <v>3000</v>
      </c>
      <c r="E23" s="132">
        <f>'POSEBNI DIO'!G362+'POSEBNI DIO'!G361</f>
        <v>46874.19</v>
      </c>
      <c r="F23" s="132">
        <f>E23/C23*100</f>
        <v>114.93608952591079</v>
      </c>
      <c r="G23" s="132">
        <f t="shared" si="9"/>
        <v>1562.4730000000002</v>
      </c>
      <c r="I23" s="112"/>
    </row>
    <row r="24" spans="1:13" s="57" customFormat="1" ht="15.75" customHeight="1" x14ac:dyDescent="0.25">
      <c r="A24" s="130"/>
      <c r="B24" s="131" t="s">
        <v>344</v>
      </c>
      <c r="C24" s="132">
        <f>C22-C23</f>
        <v>-30973.24</v>
      </c>
      <c r="D24" s="132">
        <f t="shared" ref="D24" si="10">D22-D23</f>
        <v>0</v>
      </c>
      <c r="E24" s="132">
        <f t="shared" ref="E24" si="11">E22-E23</f>
        <v>-44397.5</v>
      </c>
      <c r="F24" s="132"/>
      <c r="G24" s="132"/>
      <c r="I24" s="112"/>
    </row>
    <row r="25" spans="1:13" x14ac:dyDescent="0.25">
      <c r="A25" s="128" t="s">
        <v>132</v>
      </c>
      <c r="B25" s="128" t="s">
        <v>346</v>
      </c>
      <c r="C25" s="127"/>
      <c r="D25" s="129"/>
      <c r="E25" s="129"/>
      <c r="F25" s="129"/>
      <c r="G25" s="129"/>
    </row>
    <row r="26" spans="1:13" s="57" customFormat="1" ht="15.75" customHeight="1" x14ac:dyDescent="0.25">
      <c r="A26" s="130"/>
      <c r="B26" s="131" t="s">
        <v>13</v>
      </c>
      <c r="C26" s="132"/>
      <c r="D26" s="132">
        <v>36500</v>
      </c>
      <c r="E26" s="132">
        <v>0</v>
      </c>
      <c r="F26" s="132">
        <v>0</v>
      </c>
      <c r="G26" s="132">
        <f t="shared" ref="G26:G27" si="12">E26/D26*100</f>
        <v>0</v>
      </c>
      <c r="I26" s="112" t="e">
        <f>E26+#REF!</f>
        <v>#REF!</v>
      </c>
      <c r="K26" s="112" t="e">
        <f>#REF!+#REF!</f>
        <v>#REF!</v>
      </c>
      <c r="M26" s="112" t="e">
        <f>K26-I26</f>
        <v>#REF!</v>
      </c>
    </row>
    <row r="27" spans="1:13" s="57" customFormat="1" ht="15.75" customHeight="1" x14ac:dyDescent="0.25">
      <c r="A27" s="130"/>
      <c r="B27" s="131" t="s">
        <v>16</v>
      </c>
      <c r="C27" s="132"/>
      <c r="D27" s="132">
        <f>'POSEBNI DIO'!F362</f>
        <v>36500</v>
      </c>
      <c r="E27" s="132">
        <v>0</v>
      </c>
      <c r="F27" s="132">
        <v>0</v>
      </c>
      <c r="G27" s="132">
        <f t="shared" si="12"/>
        <v>0</v>
      </c>
      <c r="I27" s="112"/>
    </row>
    <row r="28" spans="1:13" s="57" customFormat="1" ht="15.75" customHeight="1" x14ac:dyDescent="0.25">
      <c r="A28" s="130"/>
      <c r="B28" s="131" t="s">
        <v>344</v>
      </c>
      <c r="C28" s="132">
        <f>C26-C27</f>
        <v>0</v>
      </c>
      <c r="D28" s="132">
        <f t="shared" ref="D28" si="13">D26-D27</f>
        <v>0</v>
      </c>
      <c r="E28" s="132">
        <f t="shared" ref="E28" si="14">E26-E27</f>
        <v>0</v>
      </c>
      <c r="F28" s="132"/>
      <c r="G28" s="132"/>
      <c r="I28" s="112"/>
    </row>
    <row r="29" spans="1:13" x14ac:dyDescent="0.25">
      <c r="A29" s="128" t="s">
        <v>133</v>
      </c>
      <c r="B29" s="128" t="s">
        <v>27</v>
      </c>
      <c r="C29" s="127"/>
      <c r="D29" s="129"/>
      <c r="E29" s="129"/>
      <c r="F29" s="129"/>
      <c r="G29" s="129"/>
    </row>
    <row r="30" spans="1:13" s="113" customFormat="1" ht="15.75" customHeight="1" x14ac:dyDescent="0.25">
      <c r="A30" s="130"/>
      <c r="B30" s="131" t="s">
        <v>13</v>
      </c>
      <c r="C30" s="132">
        <v>191417.78</v>
      </c>
      <c r="D30" s="132">
        <v>223900</v>
      </c>
      <c r="E30" s="132">
        <v>334876.58</v>
      </c>
      <c r="F30" s="132">
        <f>E30/C30*100</f>
        <v>174.9453890855907</v>
      </c>
      <c r="G30" s="132">
        <f t="shared" ref="G30:G31" si="15">E30/D30*100</f>
        <v>149.56524341223761</v>
      </c>
      <c r="I30" s="114">
        <f>E30+E45</f>
        <v>334876.58</v>
      </c>
      <c r="K30" s="114" t="e">
        <f>#REF!+#REF!</f>
        <v>#REF!</v>
      </c>
      <c r="M30" s="114" t="e">
        <f>K30-I30</f>
        <v>#REF!</v>
      </c>
    </row>
    <row r="31" spans="1:13" s="113" customFormat="1" ht="15.75" customHeight="1" x14ac:dyDescent="0.25">
      <c r="A31" s="130"/>
      <c r="B31" s="131" t="s">
        <v>16</v>
      </c>
      <c r="C31" s="132">
        <v>191417.78</v>
      </c>
      <c r="D31" s="132">
        <f>'POSEBNI DIO'!F363</f>
        <v>223900</v>
      </c>
      <c r="E31" s="132">
        <f>'POSEBNI DIO'!G363</f>
        <v>334876.58</v>
      </c>
      <c r="F31" s="132">
        <f>E31/C31*100</f>
        <v>174.9453890855907</v>
      </c>
      <c r="G31" s="132">
        <f t="shared" si="15"/>
        <v>149.56524341223761</v>
      </c>
      <c r="I31" s="114"/>
    </row>
    <row r="32" spans="1:13" s="113" customFormat="1" ht="15.75" customHeight="1" x14ac:dyDescent="0.25">
      <c r="A32" s="130"/>
      <c r="B32" s="131" t="s">
        <v>344</v>
      </c>
      <c r="C32" s="132">
        <f>C30-C31</f>
        <v>0</v>
      </c>
      <c r="D32" s="132">
        <f t="shared" ref="D32" si="16">D30-D31</f>
        <v>0</v>
      </c>
      <c r="E32" s="132">
        <f t="shared" ref="E32" si="17">E30-E31</f>
        <v>0</v>
      </c>
      <c r="F32" s="132"/>
      <c r="G32" s="132"/>
      <c r="I32" s="114"/>
    </row>
    <row r="33" spans="1:13" x14ac:dyDescent="0.25">
      <c r="A33" s="128" t="s">
        <v>30</v>
      </c>
      <c r="B33" s="128" t="s">
        <v>125</v>
      </c>
      <c r="C33" s="127"/>
      <c r="D33" s="129"/>
      <c r="E33" s="129"/>
      <c r="F33" s="129"/>
      <c r="G33" s="129"/>
    </row>
    <row r="34" spans="1:13" s="113" customFormat="1" ht="15.75" customHeight="1" x14ac:dyDescent="0.25">
      <c r="A34" s="130"/>
      <c r="B34" s="131" t="s">
        <v>13</v>
      </c>
      <c r="C34" s="132">
        <v>8153776.29</v>
      </c>
      <c r="D34" s="132">
        <f>7709820+243366</f>
        <v>7953186</v>
      </c>
      <c r="E34" s="132">
        <v>8541764.8100000005</v>
      </c>
      <c r="F34" s="132">
        <f>E34/C34*100</f>
        <v>104.75839054446267</v>
      </c>
      <c r="G34" s="132">
        <f t="shared" ref="G34:G35" si="18">E34/D34*100</f>
        <v>107.40054124221415</v>
      </c>
      <c r="I34" s="114" t="e">
        <f>E34+#REF!</f>
        <v>#REF!</v>
      </c>
      <c r="K34" s="114" t="e">
        <f>#REF!+E49</f>
        <v>#REF!</v>
      </c>
      <c r="M34" s="114" t="e">
        <f>K34-I34</f>
        <v>#REF!</v>
      </c>
    </row>
    <row r="35" spans="1:13" s="113" customFormat="1" ht="15.75" customHeight="1" x14ac:dyDescent="0.25">
      <c r="A35" s="130"/>
      <c r="B35" s="131" t="s">
        <v>16</v>
      </c>
      <c r="C35" s="132">
        <v>8129352.2599999998</v>
      </c>
      <c r="D35" s="132">
        <f>'POSEBNI DIO'!F364</f>
        <v>7953186</v>
      </c>
      <c r="E35" s="132">
        <f>'POSEBNI DIO'!G364</f>
        <v>8540424.6199999992</v>
      </c>
      <c r="F35" s="132">
        <f>E35/C35*100</f>
        <v>105.05664346743413</v>
      </c>
      <c r="G35" s="132">
        <f t="shared" si="18"/>
        <v>107.38369025947587</v>
      </c>
      <c r="I35" s="114"/>
    </row>
    <row r="36" spans="1:13" s="113" customFormat="1" ht="15.75" customHeight="1" x14ac:dyDescent="0.25">
      <c r="A36" s="130"/>
      <c r="B36" s="131" t="s">
        <v>344</v>
      </c>
      <c r="C36" s="132">
        <f>C34-C35</f>
        <v>24424.030000000261</v>
      </c>
      <c r="D36" s="132">
        <f t="shared" ref="D36" si="19">D34-D35</f>
        <v>0</v>
      </c>
      <c r="E36" s="132">
        <f t="shared" ref="E36" si="20">E34-E35</f>
        <v>1340.1900000013411</v>
      </c>
      <c r="F36" s="132"/>
      <c r="G36" s="132"/>
      <c r="I36" s="114"/>
    </row>
    <row r="37" spans="1:13" x14ac:dyDescent="0.25">
      <c r="A37" s="128" t="s">
        <v>208</v>
      </c>
      <c r="B37" s="128" t="s">
        <v>126</v>
      </c>
      <c r="C37" s="127"/>
      <c r="D37" s="129"/>
      <c r="E37" s="129"/>
      <c r="F37" s="129"/>
      <c r="G37" s="129"/>
    </row>
    <row r="38" spans="1:13" s="113" customFormat="1" ht="15.75" customHeight="1" x14ac:dyDescent="0.25">
      <c r="A38" s="130"/>
      <c r="B38" s="131" t="s">
        <v>13</v>
      </c>
      <c r="C38" s="132">
        <v>19941.48</v>
      </c>
      <c r="D38" s="132">
        <v>500</v>
      </c>
      <c r="E38" s="132">
        <v>4000</v>
      </c>
      <c r="F38" s="132">
        <f>E38/C38*100</f>
        <v>20.058691732007855</v>
      </c>
      <c r="G38" s="132">
        <f t="shared" ref="G38:G39" si="21">E38/D38*100</f>
        <v>800</v>
      </c>
      <c r="I38" s="114" t="e">
        <f>E38+#REF!</f>
        <v>#REF!</v>
      </c>
      <c r="K38" s="114" t="e">
        <f>#REF!+E53</f>
        <v>#REF!</v>
      </c>
      <c r="M38" s="114" t="e">
        <f>K38-I38</f>
        <v>#REF!</v>
      </c>
    </row>
    <row r="39" spans="1:13" s="113" customFormat="1" ht="15.75" customHeight="1" x14ac:dyDescent="0.25">
      <c r="A39" s="130"/>
      <c r="B39" s="131" t="s">
        <v>16</v>
      </c>
      <c r="C39" s="132">
        <v>19941.490000000002</v>
      </c>
      <c r="D39" s="132">
        <f>'POSEBNI DIO'!F365</f>
        <v>500</v>
      </c>
      <c r="E39" s="132">
        <f>'POSEBNI DIO'!G365</f>
        <v>4000</v>
      </c>
      <c r="F39" s="132">
        <f>E39/C39*100</f>
        <v>20.05868167323505</v>
      </c>
      <c r="G39" s="132">
        <f t="shared" si="21"/>
        <v>800</v>
      </c>
      <c r="I39" s="114"/>
    </row>
    <row r="40" spans="1:13" s="113" customFormat="1" ht="15.75" customHeight="1" x14ac:dyDescent="0.25">
      <c r="A40" s="130"/>
      <c r="B40" s="131" t="s">
        <v>344</v>
      </c>
      <c r="C40" s="132">
        <f>C38-C39</f>
        <v>-1.0000000002037268E-2</v>
      </c>
      <c r="D40" s="132">
        <f t="shared" ref="D40" si="22">D38-D39</f>
        <v>0</v>
      </c>
      <c r="E40" s="132">
        <f t="shared" ref="E40" si="23">E38-E39</f>
        <v>0</v>
      </c>
      <c r="F40" s="132"/>
      <c r="G40" s="132"/>
      <c r="I40" s="114"/>
    </row>
    <row r="41" spans="1:13" s="113" customFormat="1" ht="15.75" customHeight="1" x14ac:dyDescent="0.25">
      <c r="A41" s="139"/>
      <c r="B41" s="139" t="s">
        <v>347</v>
      </c>
      <c r="C41" s="140">
        <f>C6+C10+C14+C18+C22+C26+C30+C34+C38</f>
        <v>9993990.8100000005</v>
      </c>
      <c r="D41" s="140">
        <f t="shared" ref="D41:E41" si="24">D6+D10+D14+D18+D22+D26+D30+D34+D38</f>
        <v>9959420.120000001</v>
      </c>
      <c r="E41" s="140">
        <f t="shared" si="24"/>
        <v>10620420.960000001</v>
      </c>
      <c r="F41" s="140"/>
      <c r="G41" s="140"/>
      <c r="H41" s="114">
        <f>9959420.12-D41</f>
        <v>0</v>
      </c>
      <c r="I41" s="114" t="e">
        <f>E41+#REF!</f>
        <v>#REF!</v>
      </c>
      <c r="K41" s="114" t="e">
        <f>#REF!+E56</f>
        <v>#REF!</v>
      </c>
      <c r="M41" s="114" t="e">
        <f>K41-I41</f>
        <v>#REF!</v>
      </c>
    </row>
    <row r="42" spans="1:13" s="113" customFormat="1" ht="15.75" customHeight="1" x14ac:dyDescent="0.25">
      <c r="A42" s="139"/>
      <c r="B42" s="139" t="s">
        <v>348</v>
      </c>
      <c r="C42" s="140">
        <f>C7+C11+C15+C19+C23+C27+C31+C35+C39</f>
        <v>9988428.6500000004</v>
      </c>
      <c r="D42" s="140">
        <f t="shared" ref="D42:E42" si="25">D7+D11+D15+D19+D23+D27+D31+D35+D39</f>
        <v>9959420.120000001</v>
      </c>
      <c r="E42" s="140">
        <f t="shared" si="25"/>
        <v>10644841.469999999</v>
      </c>
      <c r="F42" s="140"/>
      <c r="G42" s="140"/>
      <c r="I42" s="114"/>
    </row>
    <row r="43" spans="1:13" s="113" customFormat="1" ht="28.5" customHeight="1" x14ac:dyDescent="0.25">
      <c r="A43" s="139"/>
      <c r="B43" s="139" t="s">
        <v>349</v>
      </c>
      <c r="C43" s="140">
        <f>C41-C42</f>
        <v>5562.160000000149</v>
      </c>
      <c r="D43" s="140">
        <f t="shared" ref="D43" si="26">D41-D42</f>
        <v>0</v>
      </c>
      <c r="E43" s="140">
        <f>E41-E42</f>
        <v>-24420.509999997914</v>
      </c>
      <c r="F43" s="140"/>
      <c r="G43" s="140"/>
      <c r="I43" s="114"/>
    </row>
    <row r="45" spans="1:13" ht="15.75" x14ac:dyDescent="0.25">
      <c r="A45" s="191"/>
      <c r="B45" s="191"/>
      <c r="C45" s="191"/>
      <c r="D45" s="191"/>
      <c r="E45" s="191"/>
      <c r="F45" s="191"/>
      <c r="G45" s="191"/>
    </row>
    <row r="46" spans="1:13" ht="18" x14ac:dyDescent="0.25">
      <c r="A46" s="4"/>
      <c r="B46" s="4"/>
      <c r="C46" s="4"/>
      <c r="D46" s="4"/>
      <c r="E46" s="47"/>
      <c r="F46" s="48"/>
      <c r="G46" s="48"/>
    </row>
    <row r="48" spans="1:13" x14ac:dyDescent="0.25">
      <c r="A48" t="s">
        <v>223</v>
      </c>
      <c r="C48" t="s">
        <v>224</v>
      </c>
      <c r="F48" s="44" t="s">
        <v>225</v>
      </c>
    </row>
    <row r="49" spans="1:6" x14ac:dyDescent="0.25">
      <c r="A49" t="s">
        <v>226</v>
      </c>
      <c r="C49" t="s">
        <v>227</v>
      </c>
      <c r="F49" s="44" t="s">
        <v>228</v>
      </c>
    </row>
    <row r="51" spans="1:6" x14ac:dyDescent="0.25">
      <c r="C51" s="44">
        <f>9993990.81-C41</f>
        <v>0</v>
      </c>
    </row>
    <row r="52" spans="1:6" x14ac:dyDescent="0.25">
      <c r="C52" s="44">
        <f>9988428.65-C42</f>
        <v>0</v>
      </c>
    </row>
  </sheetData>
  <mergeCells count="4">
    <mergeCell ref="A45:G45"/>
    <mergeCell ref="A3:B3"/>
    <mergeCell ref="A4:B4"/>
    <mergeCell ref="A1:G1"/>
  </mergeCells>
  <pageMargins left="0.7" right="0.7" top="0.75" bottom="0.75" header="0.3" footer="0.3"/>
  <pageSetup paperSize="9" scale="6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88"/>
  <sheetViews>
    <sheetView view="pageBreakPreview" zoomScaleNormal="100" zoomScaleSheetLayoutView="100" workbookViewId="0">
      <pane ySplit="5" topLeftCell="A161" activePane="bottomLeft" state="frozen"/>
      <selection pane="bottomLeft" activeCell="H230" sqref="H230"/>
    </sheetView>
  </sheetViews>
  <sheetFormatPr defaultRowHeight="15" x14ac:dyDescent="0.25"/>
  <cols>
    <col min="1" max="1" width="7.42578125" customWidth="1"/>
    <col min="2" max="2" width="8.42578125" customWidth="1"/>
    <col min="3" max="3" width="6" customWidth="1"/>
    <col min="4" max="4" width="34.28515625" customWidth="1"/>
    <col min="5" max="5" width="23.42578125" style="95" hidden="1" customWidth="1"/>
    <col min="6" max="6" width="21.28515625" customWidth="1"/>
    <col min="7" max="7" width="21" customWidth="1"/>
    <col min="8" max="8" width="12.140625" customWidth="1"/>
    <col min="10" max="10" width="11.7109375" customWidth="1"/>
    <col min="11" max="11" width="14.7109375" customWidth="1"/>
    <col min="12" max="12" width="14.85546875" customWidth="1"/>
    <col min="13" max="14" width="9.140625" customWidth="1"/>
  </cols>
  <sheetData>
    <row r="1" spans="1:16" ht="42" customHeight="1" x14ac:dyDescent="0.25">
      <c r="A1" s="172" t="s">
        <v>233</v>
      </c>
      <c r="B1" s="172"/>
      <c r="C1" s="172"/>
      <c r="D1" s="172"/>
      <c r="E1" s="172"/>
      <c r="F1" s="172"/>
      <c r="G1" s="172"/>
      <c r="H1" s="172"/>
      <c r="J1" s="33"/>
    </row>
    <row r="2" spans="1:16" ht="18" hidden="1" x14ac:dyDescent="0.25">
      <c r="A2" s="4"/>
      <c r="B2" s="4"/>
      <c r="C2" s="4"/>
      <c r="D2" s="4"/>
      <c r="E2" s="82"/>
      <c r="F2" s="68">
        <v>9959420.120000001</v>
      </c>
      <c r="G2" s="68">
        <v>10644841.469999999</v>
      </c>
      <c r="H2" s="5"/>
    </row>
    <row r="3" spans="1:16" ht="18" customHeight="1" x14ac:dyDescent="0.25">
      <c r="A3" s="172" t="s">
        <v>20</v>
      </c>
      <c r="B3" s="173"/>
      <c r="C3" s="173"/>
      <c r="D3" s="173"/>
      <c r="E3" s="173"/>
      <c r="F3" s="173"/>
      <c r="G3" s="173"/>
      <c r="H3" s="173"/>
      <c r="J3" s="44"/>
    </row>
    <row r="4" spans="1:16" ht="18" hidden="1" x14ac:dyDescent="0.25">
      <c r="A4" s="4"/>
      <c r="B4" s="4"/>
      <c r="C4" s="4"/>
      <c r="D4" s="72" t="s">
        <v>240</v>
      </c>
      <c r="E4" s="83">
        <v>1323801.2462671711</v>
      </c>
      <c r="F4" s="68">
        <f>F7+F14+F21+F59+F143+F164+F171</f>
        <v>9959420.120000001</v>
      </c>
      <c r="G4" s="68">
        <f>G7+G14+G21+G59+G143+G164+G171</f>
        <v>10644841.469999999</v>
      </c>
      <c r="H4" s="68">
        <v>1340918.3042590751</v>
      </c>
    </row>
    <row r="5" spans="1:16" ht="28.5" customHeight="1" x14ac:dyDescent="0.25">
      <c r="A5" s="223" t="s">
        <v>21</v>
      </c>
      <c r="B5" s="224"/>
      <c r="C5" s="225"/>
      <c r="D5" s="11" t="s">
        <v>22</v>
      </c>
      <c r="E5" s="84" t="s">
        <v>11</v>
      </c>
      <c r="F5" s="12" t="s">
        <v>230</v>
      </c>
      <c r="G5" s="12" t="s">
        <v>231</v>
      </c>
      <c r="H5" s="12" t="s">
        <v>232</v>
      </c>
      <c r="J5" s="44"/>
      <c r="M5" s="57"/>
    </row>
    <row r="6" spans="1:16" ht="24" customHeight="1" x14ac:dyDescent="0.25">
      <c r="A6" s="211">
        <v>1</v>
      </c>
      <c r="B6" s="212"/>
      <c r="C6" s="213"/>
      <c r="D6" s="81">
        <v>2</v>
      </c>
      <c r="E6" s="85">
        <v>0</v>
      </c>
      <c r="F6" s="81">
        <v>3</v>
      </c>
      <c r="G6" s="81">
        <v>4</v>
      </c>
      <c r="H6" s="81">
        <v>5</v>
      </c>
      <c r="K6" s="57"/>
      <c r="L6" s="57"/>
      <c r="M6" s="57"/>
      <c r="N6" s="57"/>
      <c r="O6" s="57"/>
      <c r="P6" s="57"/>
    </row>
    <row r="7" spans="1:16" ht="24" customHeight="1" x14ac:dyDescent="0.25">
      <c r="A7" s="226" t="s">
        <v>101</v>
      </c>
      <c r="B7" s="227"/>
      <c r="C7" s="228"/>
      <c r="D7" s="41" t="s">
        <v>114</v>
      </c>
      <c r="E7" s="86">
        <v>0</v>
      </c>
      <c r="F7" s="42">
        <f t="shared" ref="F7:G10" si="0">F8</f>
        <v>18312.25</v>
      </c>
      <c r="G7" s="42">
        <f t="shared" si="0"/>
        <v>23342.1</v>
      </c>
      <c r="H7" s="42">
        <f>G7/F7*100</f>
        <v>127.46713265710112</v>
      </c>
      <c r="K7" s="57"/>
      <c r="L7" s="57"/>
      <c r="M7" s="57"/>
      <c r="N7" s="57"/>
      <c r="O7" s="57"/>
      <c r="P7" s="57"/>
    </row>
    <row r="8" spans="1:16" ht="30" customHeight="1" x14ac:dyDescent="0.25">
      <c r="A8" s="214" t="s">
        <v>115</v>
      </c>
      <c r="B8" s="215"/>
      <c r="C8" s="216"/>
      <c r="D8" s="34" t="s">
        <v>116</v>
      </c>
      <c r="E8" s="87">
        <v>0</v>
      </c>
      <c r="F8" s="37">
        <f t="shared" si="0"/>
        <v>18312.25</v>
      </c>
      <c r="G8" s="37">
        <f t="shared" si="0"/>
        <v>23342.1</v>
      </c>
      <c r="H8" s="37">
        <f t="shared" ref="H8:H11" si="1">G8/F8*100</f>
        <v>127.46713265710112</v>
      </c>
    </row>
    <row r="9" spans="1:16" ht="15" customHeight="1" x14ac:dyDescent="0.25">
      <c r="A9" s="199" t="s">
        <v>117</v>
      </c>
      <c r="B9" s="200"/>
      <c r="C9" s="201"/>
      <c r="D9" s="38" t="s">
        <v>118</v>
      </c>
      <c r="E9" s="88">
        <v>0</v>
      </c>
      <c r="F9" s="38">
        <f t="shared" si="0"/>
        <v>18312.25</v>
      </c>
      <c r="G9" s="38">
        <f t="shared" si="0"/>
        <v>23342.1</v>
      </c>
      <c r="H9" s="38">
        <f t="shared" si="1"/>
        <v>127.46713265710112</v>
      </c>
    </row>
    <row r="10" spans="1:16" x14ac:dyDescent="0.25">
      <c r="A10" s="202">
        <v>3</v>
      </c>
      <c r="B10" s="203"/>
      <c r="C10" s="204"/>
      <c r="D10" s="35" t="s">
        <v>16</v>
      </c>
      <c r="E10" s="89">
        <v>0</v>
      </c>
      <c r="F10" s="36">
        <f t="shared" si="0"/>
        <v>18312.25</v>
      </c>
      <c r="G10" s="36">
        <f t="shared" si="0"/>
        <v>23342.1</v>
      </c>
      <c r="H10" s="36">
        <f t="shared" si="1"/>
        <v>127.46713265710112</v>
      </c>
    </row>
    <row r="11" spans="1:16" ht="26.25" x14ac:dyDescent="0.25">
      <c r="A11" s="205">
        <v>37</v>
      </c>
      <c r="B11" s="206"/>
      <c r="C11" s="207"/>
      <c r="D11" s="30" t="s">
        <v>119</v>
      </c>
      <c r="E11" s="90">
        <v>0</v>
      </c>
      <c r="F11" s="58">
        <f>F13</f>
        <v>18312.25</v>
      </c>
      <c r="G11" s="58">
        <f>G13</f>
        <v>23342.1</v>
      </c>
      <c r="H11" s="58">
        <f t="shared" si="1"/>
        <v>127.46713265710112</v>
      </c>
    </row>
    <row r="12" spans="1:16" ht="25.5" x14ac:dyDescent="0.25">
      <c r="A12" s="196">
        <v>372</v>
      </c>
      <c r="B12" s="197"/>
      <c r="C12" s="198"/>
      <c r="D12" s="163" t="s">
        <v>119</v>
      </c>
      <c r="E12" s="164">
        <v>0</v>
      </c>
      <c r="F12" s="165">
        <f>F13</f>
        <v>18312.25</v>
      </c>
      <c r="G12" s="165">
        <f>G13</f>
        <v>23342.1</v>
      </c>
      <c r="H12" s="165">
        <f t="shared" ref="H12" si="2">G12/F12*100</f>
        <v>127.46713265710112</v>
      </c>
    </row>
    <row r="13" spans="1:16" ht="25.5" x14ac:dyDescent="0.25">
      <c r="A13" s="208" t="s">
        <v>192</v>
      </c>
      <c r="B13" s="209"/>
      <c r="C13" s="210"/>
      <c r="D13" s="26" t="s">
        <v>119</v>
      </c>
      <c r="E13" s="91"/>
      <c r="F13" s="32">
        <v>18312.25</v>
      </c>
      <c r="G13" s="32">
        <v>23342.1</v>
      </c>
      <c r="H13" s="32"/>
    </row>
    <row r="14" spans="1:16" x14ac:dyDescent="0.25">
      <c r="A14" s="220" t="s">
        <v>101</v>
      </c>
      <c r="B14" s="221"/>
      <c r="C14" s="222"/>
      <c r="D14" s="27" t="s">
        <v>71</v>
      </c>
      <c r="E14" s="40">
        <v>0</v>
      </c>
      <c r="F14" s="28">
        <f t="shared" ref="F14:G17" si="3">F15</f>
        <v>230000</v>
      </c>
      <c r="G14" s="28">
        <f t="shared" si="3"/>
        <v>224968.75</v>
      </c>
      <c r="H14" s="28">
        <f t="shared" ref="H14:H19" si="4">G14/F14*100</f>
        <v>97.8125</v>
      </c>
      <c r="K14" s="57"/>
      <c r="L14" s="57"/>
      <c r="M14" s="57"/>
      <c r="N14" s="57"/>
      <c r="O14" s="57"/>
      <c r="P14" s="57"/>
    </row>
    <row r="15" spans="1:16" ht="35.25" customHeight="1" x14ac:dyDescent="0.25">
      <c r="A15" s="214" t="s">
        <v>31</v>
      </c>
      <c r="B15" s="215"/>
      <c r="C15" s="216"/>
      <c r="D15" s="34" t="s">
        <v>32</v>
      </c>
      <c r="E15" s="87">
        <v>0</v>
      </c>
      <c r="F15" s="37">
        <f t="shared" si="3"/>
        <v>230000</v>
      </c>
      <c r="G15" s="37">
        <f t="shared" si="3"/>
        <v>224968.75</v>
      </c>
      <c r="H15" s="37">
        <f t="shared" si="4"/>
        <v>97.8125</v>
      </c>
    </row>
    <row r="16" spans="1:16" ht="15" customHeight="1" x14ac:dyDescent="0.25">
      <c r="A16" s="199" t="s">
        <v>105</v>
      </c>
      <c r="B16" s="200"/>
      <c r="C16" s="201"/>
      <c r="D16" s="38" t="s">
        <v>14</v>
      </c>
      <c r="E16" s="88">
        <v>0</v>
      </c>
      <c r="F16" s="38">
        <f t="shared" si="3"/>
        <v>230000</v>
      </c>
      <c r="G16" s="38">
        <f t="shared" si="3"/>
        <v>224968.75</v>
      </c>
      <c r="H16" s="38">
        <f t="shared" si="4"/>
        <v>97.8125</v>
      </c>
    </row>
    <row r="17" spans="1:16" ht="25.5" x14ac:dyDescent="0.25">
      <c r="A17" s="202">
        <v>4</v>
      </c>
      <c r="B17" s="203"/>
      <c r="C17" s="204"/>
      <c r="D17" s="67" t="s">
        <v>18</v>
      </c>
      <c r="E17" s="89">
        <v>0</v>
      </c>
      <c r="F17" s="36">
        <f t="shared" si="3"/>
        <v>230000</v>
      </c>
      <c r="G17" s="36">
        <f t="shared" si="3"/>
        <v>224968.75</v>
      </c>
      <c r="H17" s="36">
        <f t="shared" si="4"/>
        <v>97.8125</v>
      </c>
    </row>
    <row r="18" spans="1:16" ht="25.5" x14ac:dyDescent="0.25">
      <c r="A18" s="205">
        <v>42</v>
      </c>
      <c r="B18" s="206"/>
      <c r="C18" s="207"/>
      <c r="D18" s="59" t="s">
        <v>196</v>
      </c>
      <c r="E18" s="90">
        <v>0</v>
      </c>
      <c r="F18" s="58">
        <f>F20</f>
        <v>230000</v>
      </c>
      <c r="G18" s="58">
        <f>G20</f>
        <v>224968.75</v>
      </c>
      <c r="H18" s="58">
        <f t="shared" si="4"/>
        <v>97.8125</v>
      </c>
    </row>
    <row r="19" spans="1:16" x14ac:dyDescent="0.25">
      <c r="A19" s="196" t="s">
        <v>197</v>
      </c>
      <c r="B19" s="197"/>
      <c r="C19" s="198"/>
      <c r="D19" s="163" t="s">
        <v>85</v>
      </c>
      <c r="E19" s="164">
        <v>0</v>
      </c>
      <c r="F19" s="165">
        <v>230000</v>
      </c>
      <c r="G19" s="165">
        <v>224968.75</v>
      </c>
      <c r="H19" s="165">
        <f t="shared" si="4"/>
        <v>97.8125</v>
      </c>
    </row>
    <row r="20" spans="1:16" x14ac:dyDescent="0.25">
      <c r="A20" s="208" t="s">
        <v>198</v>
      </c>
      <c r="B20" s="209"/>
      <c r="C20" s="210"/>
      <c r="D20" s="26" t="s">
        <v>85</v>
      </c>
      <c r="E20" s="91">
        <v>0</v>
      </c>
      <c r="F20" s="32">
        <v>230000</v>
      </c>
      <c r="G20" s="32">
        <v>224968.75</v>
      </c>
      <c r="H20" s="32"/>
    </row>
    <row r="21" spans="1:16" ht="36" x14ac:dyDescent="0.25">
      <c r="A21" s="220" t="s">
        <v>101</v>
      </c>
      <c r="B21" s="221"/>
      <c r="C21" s="222"/>
      <c r="D21" s="27" t="s">
        <v>33</v>
      </c>
      <c r="E21" s="40">
        <v>50265.510651005374</v>
      </c>
      <c r="F21" s="28">
        <f>F22+F51</f>
        <v>384223.9</v>
      </c>
      <c r="G21" s="28">
        <f>G22+G51</f>
        <v>384223.9</v>
      </c>
      <c r="H21" s="28">
        <f t="shared" ref="H21:H26" si="5">G21/F21*100</f>
        <v>100</v>
      </c>
      <c r="K21" s="57"/>
      <c r="L21" s="57"/>
      <c r="M21" s="57"/>
      <c r="N21" s="57"/>
      <c r="O21" s="57"/>
      <c r="P21" s="57"/>
    </row>
    <row r="22" spans="1:16" ht="15" customHeight="1" x14ac:dyDescent="0.25">
      <c r="A22" s="214" t="s">
        <v>98</v>
      </c>
      <c r="B22" s="215"/>
      <c r="C22" s="216"/>
      <c r="D22" s="34" t="s">
        <v>35</v>
      </c>
      <c r="E22" s="87">
        <v>42134.182759307187</v>
      </c>
      <c r="F22" s="37">
        <f>F23</f>
        <v>322980</v>
      </c>
      <c r="G22" s="37">
        <f>G23</f>
        <v>322980</v>
      </c>
      <c r="H22" s="37">
        <f t="shared" si="5"/>
        <v>100</v>
      </c>
    </row>
    <row r="23" spans="1:16" ht="15" customHeight="1" x14ac:dyDescent="0.25">
      <c r="A23" s="199" t="s">
        <v>99</v>
      </c>
      <c r="B23" s="200"/>
      <c r="C23" s="201"/>
      <c r="D23" s="38" t="s">
        <v>100</v>
      </c>
      <c r="E23" s="88">
        <v>42134.182759307187</v>
      </c>
      <c r="F23" s="38">
        <f>F24</f>
        <v>322980</v>
      </c>
      <c r="G23" s="38">
        <f>G24</f>
        <v>322980</v>
      </c>
      <c r="H23" s="38">
        <f t="shared" si="5"/>
        <v>100</v>
      </c>
    </row>
    <row r="24" spans="1:16" x14ac:dyDescent="0.25">
      <c r="A24" s="202">
        <v>3</v>
      </c>
      <c r="B24" s="203"/>
      <c r="C24" s="204"/>
      <c r="D24" s="35" t="s">
        <v>16</v>
      </c>
      <c r="E24" s="89">
        <v>42134.182759307187</v>
      </c>
      <c r="F24" s="36">
        <f>F25+F48</f>
        <v>322980</v>
      </c>
      <c r="G24" s="36">
        <f>G25+G48</f>
        <v>322980</v>
      </c>
      <c r="H24" s="36">
        <f t="shared" si="5"/>
        <v>100</v>
      </c>
    </row>
    <row r="25" spans="1:16" x14ac:dyDescent="0.25">
      <c r="A25" s="205">
        <v>32</v>
      </c>
      <c r="B25" s="206"/>
      <c r="C25" s="207"/>
      <c r="D25" s="59" t="s">
        <v>23</v>
      </c>
      <c r="E25" s="90">
        <v>41188.532749352977</v>
      </c>
      <c r="F25" s="58">
        <f>F26+F29+F34+F43</f>
        <v>315280</v>
      </c>
      <c r="G25" s="58">
        <f>G26+G29+G34+G43</f>
        <v>315280</v>
      </c>
      <c r="H25" s="58">
        <f t="shared" si="5"/>
        <v>100</v>
      </c>
    </row>
    <row r="26" spans="1:16" x14ac:dyDescent="0.25">
      <c r="A26" s="196" t="s">
        <v>174</v>
      </c>
      <c r="B26" s="197"/>
      <c r="C26" s="198"/>
      <c r="D26" s="163" t="s">
        <v>69</v>
      </c>
      <c r="E26" s="164">
        <v>608.33499236843852</v>
      </c>
      <c r="F26" s="165">
        <f>SUM(F27:F28)</f>
        <v>37200</v>
      </c>
      <c r="G26" s="165">
        <f>SUM(G27:G28)</f>
        <v>37200</v>
      </c>
      <c r="H26" s="165">
        <f t="shared" si="5"/>
        <v>100</v>
      </c>
    </row>
    <row r="27" spans="1:16" x14ac:dyDescent="0.25">
      <c r="A27" s="208">
        <v>3211</v>
      </c>
      <c r="B27" s="209"/>
      <c r="C27" s="210"/>
      <c r="D27" s="26" t="s">
        <v>36</v>
      </c>
      <c r="E27" s="91">
        <v>608.33499236843852</v>
      </c>
      <c r="F27" s="32">
        <v>30800</v>
      </c>
      <c r="G27" s="32">
        <v>33066.400000000001</v>
      </c>
      <c r="H27" s="32"/>
    </row>
    <row r="28" spans="1:16" x14ac:dyDescent="0.25">
      <c r="A28" s="208">
        <v>3213</v>
      </c>
      <c r="B28" s="209">
        <v>3213</v>
      </c>
      <c r="C28" s="210">
        <v>3213</v>
      </c>
      <c r="D28" s="26" t="s">
        <v>37</v>
      </c>
      <c r="E28" s="91">
        <v>1585.57303072533</v>
      </c>
      <c r="F28" s="32">
        <v>6400</v>
      </c>
      <c r="G28" s="32">
        <v>4133.6000000000004</v>
      </c>
      <c r="H28" s="32"/>
    </row>
    <row r="29" spans="1:16" x14ac:dyDescent="0.25">
      <c r="A29" s="196" t="s">
        <v>177</v>
      </c>
      <c r="B29" s="197"/>
      <c r="C29" s="198"/>
      <c r="D29" s="163" t="s">
        <v>56</v>
      </c>
      <c r="E29" s="164">
        <v>608.33499236843852</v>
      </c>
      <c r="F29" s="165">
        <f>SUM(F30:F33)</f>
        <v>178350.9</v>
      </c>
      <c r="G29" s="165">
        <f>SUM(G30:G33)</f>
        <v>178350.9</v>
      </c>
      <c r="H29" s="165">
        <f t="shared" ref="H29" si="6">G29/F29*100</f>
        <v>100</v>
      </c>
    </row>
    <row r="30" spans="1:16" x14ac:dyDescent="0.25">
      <c r="A30" s="208">
        <v>3221</v>
      </c>
      <c r="B30" s="209">
        <v>3221</v>
      </c>
      <c r="C30" s="210">
        <v>3221</v>
      </c>
      <c r="D30" s="26" t="s">
        <v>38</v>
      </c>
      <c r="E30" s="91">
        <v>9019.475744906762</v>
      </c>
      <c r="F30" s="32">
        <v>39350.9</v>
      </c>
      <c r="G30" s="32">
        <v>63505</v>
      </c>
      <c r="H30" s="32"/>
    </row>
    <row r="31" spans="1:16" x14ac:dyDescent="0.25">
      <c r="A31" s="208">
        <v>3223</v>
      </c>
      <c r="B31" s="209">
        <v>3223</v>
      </c>
      <c r="C31" s="210">
        <v>3223</v>
      </c>
      <c r="D31" s="26" t="s">
        <v>39</v>
      </c>
      <c r="E31" s="91">
        <v>13453.947839936292</v>
      </c>
      <c r="F31" s="32">
        <v>137000</v>
      </c>
      <c r="G31" s="32">
        <v>110613</v>
      </c>
      <c r="H31" s="32"/>
    </row>
    <row r="32" spans="1:16" x14ac:dyDescent="0.25">
      <c r="A32" s="208">
        <v>3225</v>
      </c>
      <c r="B32" s="209">
        <v>3225</v>
      </c>
      <c r="C32" s="210">
        <v>3225</v>
      </c>
      <c r="D32" s="26" t="s">
        <v>40</v>
      </c>
      <c r="E32" s="91">
        <v>629.33704957196892</v>
      </c>
      <c r="F32" s="32">
        <v>1000</v>
      </c>
      <c r="G32" s="32">
        <v>2576</v>
      </c>
      <c r="H32" s="32"/>
      <c r="K32" s="44"/>
    </row>
    <row r="33" spans="1:8" x14ac:dyDescent="0.25">
      <c r="A33" s="208">
        <v>3227</v>
      </c>
      <c r="B33" s="209">
        <v>3227</v>
      </c>
      <c r="C33" s="210">
        <v>3227</v>
      </c>
      <c r="D33" s="26" t="s">
        <v>41</v>
      </c>
      <c r="E33" s="91">
        <v>320.29331740659632</v>
      </c>
      <c r="F33" s="32">
        <v>1000</v>
      </c>
      <c r="G33" s="32">
        <v>1656.9</v>
      </c>
      <c r="H33" s="32"/>
    </row>
    <row r="34" spans="1:8" x14ac:dyDescent="0.25">
      <c r="A34" s="196" t="s">
        <v>181</v>
      </c>
      <c r="B34" s="197"/>
      <c r="C34" s="198"/>
      <c r="D34" s="163" t="s">
        <v>58</v>
      </c>
      <c r="E34" s="164">
        <v>608.33499236843852</v>
      </c>
      <c r="F34" s="165">
        <f>SUM(F35:F42)</f>
        <v>93729.1</v>
      </c>
      <c r="G34" s="165">
        <f>SUM(G35:G42)</f>
        <v>93729.1</v>
      </c>
      <c r="H34" s="165">
        <f t="shared" ref="H34" si="7">G34/F34*100</f>
        <v>100</v>
      </c>
    </row>
    <row r="35" spans="1:8" x14ac:dyDescent="0.25">
      <c r="A35" s="208">
        <v>3231</v>
      </c>
      <c r="B35" s="209">
        <v>3231</v>
      </c>
      <c r="C35" s="210">
        <v>3231</v>
      </c>
      <c r="D35" s="26" t="s">
        <v>42</v>
      </c>
      <c r="E35" s="91">
        <v>1796.8119981418806</v>
      </c>
      <c r="F35" s="32">
        <v>16700</v>
      </c>
      <c r="G35" s="32">
        <v>16604.439999999999</v>
      </c>
      <c r="H35" s="32"/>
    </row>
    <row r="36" spans="1:8" x14ac:dyDescent="0.25">
      <c r="A36" s="208">
        <v>3233</v>
      </c>
      <c r="B36" s="209">
        <v>3233</v>
      </c>
      <c r="C36" s="210">
        <v>3233</v>
      </c>
      <c r="D36" s="26" t="s">
        <v>43</v>
      </c>
      <c r="E36" s="91">
        <v>0</v>
      </c>
      <c r="F36" s="32">
        <v>100</v>
      </c>
      <c r="G36" s="32">
        <v>0</v>
      </c>
      <c r="H36" s="32"/>
    </row>
    <row r="37" spans="1:8" x14ac:dyDescent="0.25">
      <c r="A37" s="208">
        <v>3234</v>
      </c>
      <c r="B37" s="209">
        <v>3234</v>
      </c>
      <c r="C37" s="210">
        <v>3234</v>
      </c>
      <c r="D37" s="26" t="s">
        <v>44</v>
      </c>
      <c r="E37" s="91">
        <v>3623.2092375074653</v>
      </c>
      <c r="F37" s="32">
        <v>31000</v>
      </c>
      <c r="G37" s="32">
        <v>30629.86</v>
      </c>
      <c r="H37" s="32"/>
    </row>
    <row r="38" spans="1:8" x14ac:dyDescent="0.25">
      <c r="A38" s="208">
        <v>3235</v>
      </c>
      <c r="B38" s="209">
        <v>3235</v>
      </c>
      <c r="C38" s="210">
        <v>3235</v>
      </c>
      <c r="D38" s="26" t="s">
        <v>45</v>
      </c>
      <c r="E38" s="91">
        <v>211.93045324839071</v>
      </c>
      <c r="F38" s="32">
        <v>4485.3500000000004</v>
      </c>
      <c r="G38" s="32">
        <v>6881.64</v>
      </c>
      <c r="H38" s="32"/>
    </row>
    <row r="39" spans="1:8" x14ac:dyDescent="0.25">
      <c r="A39" s="208">
        <v>3236</v>
      </c>
      <c r="B39" s="209">
        <v>3236</v>
      </c>
      <c r="C39" s="210">
        <v>3236</v>
      </c>
      <c r="D39" s="26" t="s">
        <v>46</v>
      </c>
      <c r="E39" s="91">
        <v>1864.1794412369763</v>
      </c>
      <c r="F39" s="32">
        <v>19500</v>
      </c>
      <c r="G39" s="32">
        <v>20950.66</v>
      </c>
      <c r="H39" s="32"/>
    </row>
    <row r="40" spans="1:8" x14ac:dyDescent="0.25">
      <c r="A40" s="208">
        <v>3237</v>
      </c>
      <c r="B40" s="209">
        <v>3237</v>
      </c>
      <c r="C40" s="210">
        <v>3237</v>
      </c>
      <c r="D40" s="26" t="s">
        <v>47</v>
      </c>
      <c r="E40" s="91">
        <v>987.12588758378126</v>
      </c>
      <c r="F40" s="32">
        <v>5243.75</v>
      </c>
      <c r="G40" s="32">
        <v>5712.5</v>
      </c>
      <c r="H40" s="32"/>
    </row>
    <row r="41" spans="1:8" x14ac:dyDescent="0.25">
      <c r="A41" s="208">
        <v>3238</v>
      </c>
      <c r="B41" s="209">
        <v>3238</v>
      </c>
      <c r="C41" s="210">
        <v>3238</v>
      </c>
      <c r="D41" s="26" t="s">
        <v>48</v>
      </c>
      <c r="E41" s="91">
        <v>2329.1353109031784</v>
      </c>
      <c r="F41" s="32">
        <v>14500</v>
      </c>
      <c r="G41" s="32">
        <v>12350</v>
      </c>
      <c r="H41" s="32"/>
    </row>
    <row r="42" spans="1:8" x14ac:dyDescent="0.25">
      <c r="A42" s="208">
        <v>3239</v>
      </c>
      <c r="B42" s="209">
        <v>3239</v>
      </c>
      <c r="C42" s="210">
        <v>3239</v>
      </c>
      <c r="D42" s="26" t="s">
        <v>49</v>
      </c>
      <c r="E42" s="91">
        <v>2615.7050899197025</v>
      </c>
      <c r="F42" s="32">
        <v>2200</v>
      </c>
      <c r="G42" s="32">
        <v>600</v>
      </c>
      <c r="H42" s="32"/>
    </row>
    <row r="43" spans="1:8" x14ac:dyDescent="0.25">
      <c r="A43" s="196" t="s">
        <v>175</v>
      </c>
      <c r="B43" s="197"/>
      <c r="C43" s="198"/>
      <c r="D43" s="163" t="s">
        <v>63</v>
      </c>
      <c r="E43" s="164">
        <v>608.33499236843852</v>
      </c>
      <c r="F43" s="165">
        <f>SUM(F44:F47)</f>
        <v>6000</v>
      </c>
      <c r="G43" s="165">
        <f>SUM(G44:G47)</f>
        <v>6000</v>
      </c>
      <c r="H43" s="165">
        <f t="shared" ref="H43" si="8">G43/F43*100</f>
        <v>100</v>
      </c>
    </row>
    <row r="44" spans="1:8" x14ac:dyDescent="0.25">
      <c r="A44" s="208">
        <v>3293</v>
      </c>
      <c r="B44" s="209">
        <v>3293</v>
      </c>
      <c r="C44" s="210">
        <v>3293</v>
      </c>
      <c r="D44" s="26" t="s">
        <v>50</v>
      </c>
      <c r="E44" s="91">
        <v>14.193377131860109</v>
      </c>
      <c r="F44" s="32">
        <v>2500</v>
      </c>
      <c r="G44" s="32">
        <v>2824.79</v>
      </c>
      <c r="H44" s="32"/>
    </row>
    <row r="45" spans="1:8" x14ac:dyDescent="0.25">
      <c r="A45" s="208">
        <v>3294</v>
      </c>
      <c r="B45" s="209">
        <v>3294</v>
      </c>
      <c r="C45" s="210">
        <v>3294</v>
      </c>
      <c r="D45" s="26" t="s">
        <v>51</v>
      </c>
      <c r="E45" s="91">
        <v>132.72280841462606</v>
      </c>
      <c r="F45" s="32">
        <v>1200</v>
      </c>
      <c r="G45" s="32">
        <v>1200</v>
      </c>
      <c r="H45" s="32"/>
    </row>
    <row r="46" spans="1:8" x14ac:dyDescent="0.25">
      <c r="A46" s="208">
        <v>3295</v>
      </c>
      <c r="B46" s="209">
        <v>3295</v>
      </c>
      <c r="C46" s="210">
        <v>3295</v>
      </c>
      <c r="D46" s="26" t="s">
        <v>52</v>
      </c>
      <c r="E46" s="91">
        <v>31.853474019510251</v>
      </c>
      <c r="F46" s="32">
        <v>100</v>
      </c>
      <c r="G46" s="32">
        <v>0</v>
      </c>
      <c r="H46" s="32"/>
    </row>
    <row r="47" spans="1:8" x14ac:dyDescent="0.25">
      <c r="A47" s="208">
        <v>3299</v>
      </c>
      <c r="B47" s="209">
        <v>3299</v>
      </c>
      <c r="C47" s="210">
        <v>3299</v>
      </c>
      <c r="D47" s="26" t="s">
        <v>53</v>
      </c>
      <c r="E47" s="91">
        <v>1964.7036963302141</v>
      </c>
      <c r="F47" s="32">
        <v>2200</v>
      </c>
      <c r="G47" s="32">
        <v>1975.21</v>
      </c>
      <c r="H47" s="32"/>
    </row>
    <row r="48" spans="1:8" x14ac:dyDescent="0.25">
      <c r="A48" s="205">
        <v>34</v>
      </c>
      <c r="B48" s="206"/>
      <c r="C48" s="207"/>
      <c r="D48" s="59" t="s">
        <v>79</v>
      </c>
      <c r="E48" s="90">
        <v>945.65000995421053</v>
      </c>
      <c r="F48" s="58">
        <f>F50</f>
        <v>7700</v>
      </c>
      <c r="G48" s="58">
        <f>G50</f>
        <v>7700</v>
      </c>
      <c r="H48" s="58">
        <f t="shared" ref="H48:H55" si="9">G48/F48*100</f>
        <v>100</v>
      </c>
    </row>
    <row r="49" spans="1:8" x14ac:dyDescent="0.25">
      <c r="A49" s="196" t="s">
        <v>187</v>
      </c>
      <c r="B49" s="197"/>
      <c r="C49" s="198"/>
      <c r="D49" s="163" t="s">
        <v>92</v>
      </c>
      <c r="E49" s="164">
        <v>608.33499236843852</v>
      </c>
      <c r="F49" s="165">
        <f>SUM(F50)</f>
        <v>7700</v>
      </c>
      <c r="G49" s="165">
        <f>SUM(G50)</f>
        <v>7700</v>
      </c>
      <c r="H49" s="165">
        <f t="shared" si="9"/>
        <v>100</v>
      </c>
    </row>
    <row r="50" spans="1:8" x14ac:dyDescent="0.25">
      <c r="A50" s="208" t="s">
        <v>140</v>
      </c>
      <c r="B50" s="209"/>
      <c r="C50" s="210"/>
      <c r="D50" s="29" t="s">
        <v>54</v>
      </c>
      <c r="E50" s="91">
        <v>945.65000995421053</v>
      </c>
      <c r="F50" s="32">
        <v>7700</v>
      </c>
      <c r="G50" s="32">
        <v>7700</v>
      </c>
      <c r="H50" s="32">
        <f t="shared" si="9"/>
        <v>100</v>
      </c>
    </row>
    <row r="51" spans="1:8" x14ac:dyDescent="0.25">
      <c r="A51" s="214" t="s">
        <v>102</v>
      </c>
      <c r="B51" s="215"/>
      <c r="C51" s="216"/>
      <c r="D51" s="34" t="s">
        <v>103</v>
      </c>
      <c r="E51" s="87">
        <v>8131.3278916981872</v>
      </c>
      <c r="F51" s="37">
        <f t="shared" ref="F51:G53" si="10">F52</f>
        <v>61243.9</v>
      </c>
      <c r="G51" s="37">
        <f t="shared" si="10"/>
        <v>61243.9</v>
      </c>
      <c r="H51" s="37">
        <f t="shared" si="9"/>
        <v>100</v>
      </c>
    </row>
    <row r="52" spans="1:8" ht="15" customHeight="1" x14ac:dyDescent="0.25">
      <c r="A52" s="199" t="s">
        <v>99</v>
      </c>
      <c r="B52" s="200"/>
      <c r="C52" s="201"/>
      <c r="D52" s="38" t="s">
        <v>100</v>
      </c>
      <c r="E52" s="88">
        <v>8131.3278916981872</v>
      </c>
      <c r="F52" s="38">
        <f t="shared" si="10"/>
        <v>61243.9</v>
      </c>
      <c r="G52" s="38">
        <f t="shared" si="10"/>
        <v>61243.9</v>
      </c>
      <c r="H52" s="38">
        <f t="shared" si="9"/>
        <v>100</v>
      </c>
    </row>
    <row r="53" spans="1:8" x14ac:dyDescent="0.25">
      <c r="A53" s="202">
        <v>3</v>
      </c>
      <c r="B53" s="203"/>
      <c r="C53" s="204"/>
      <c r="D53" s="35" t="s">
        <v>16</v>
      </c>
      <c r="E53" s="89">
        <v>8131.3278916981872</v>
      </c>
      <c r="F53" s="36">
        <f t="shared" si="10"/>
        <v>61243.9</v>
      </c>
      <c r="G53" s="36">
        <f t="shared" si="10"/>
        <v>61243.9</v>
      </c>
      <c r="H53" s="36">
        <f t="shared" si="9"/>
        <v>100</v>
      </c>
    </row>
    <row r="54" spans="1:8" x14ac:dyDescent="0.25">
      <c r="A54" s="205">
        <v>32</v>
      </c>
      <c r="B54" s="206"/>
      <c r="C54" s="207"/>
      <c r="D54" s="59" t="s">
        <v>23</v>
      </c>
      <c r="E54" s="92">
        <v>8131.3278916981872</v>
      </c>
      <c r="F54" s="58">
        <f>F55+F57</f>
        <v>61243.9</v>
      </c>
      <c r="G54" s="58">
        <f>G55+G57</f>
        <v>61243.9</v>
      </c>
      <c r="H54" s="58">
        <f t="shared" si="9"/>
        <v>100</v>
      </c>
    </row>
    <row r="55" spans="1:8" x14ac:dyDescent="0.25">
      <c r="A55" s="196" t="s">
        <v>177</v>
      </c>
      <c r="B55" s="197"/>
      <c r="C55" s="198"/>
      <c r="D55" s="163" t="s">
        <v>56</v>
      </c>
      <c r="E55" s="164">
        <v>608.33499236843852</v>
      </c>
      <c r="F55" s="165">
        <f>SUM(F56)</f>
        <v>18000</v>
      </c>
      <c r="G55" s="165">
        <f>SUM(G56)</f>
        <v>18000</v>
      </c>
      <c r="H55" s="165">
        <f t="shared" si="9"/>
        <v>100</v>
      </c>
    </row>
    <row r="56" spans="1:8" x14ac:dyDescent="0.25">
      <c r="A56" s="229">
        <v>3224</v>
      </c>
      <c r="B56" s="230"/>
      <c r="C56" s="231"/>
      <c r="D56" s="26" t="s">
        <v>57</v>
      </c>
      <c r="E56" s="91">
        <v>2389.0105514632687</v>
      </c>
      <c r="F56" s="32">
        <v>18000</v>
      </c>
      <c r="G56" s="32">
        <v>18000</v>
      </c>
      <c r="H56" s="32"/>
    </row>
    <row r="57" spans="1:8" x14ac:dyDescent="0.25">
      <c r="A57" s="196" t="s">
        <v>181</v>
      </c>
      <c r="B57" s="197"/>
      <c r="C57" s="198"/>
      <c r="D57" s="163" t="s">
        <v>58</v>
      </c>
      <c r="E57" s="164">
        <v>608.33499236843852</v>
      </c>
      <c r="F57" s="165">
        <f>SUM(F58)</f>
        <v>43243.9</v>
      </c>
      <c r="G57" s="165">
        <f>SUM(G58)</f>
        <v>43243.9</v>
      </c>
      <c r="H57" s="165">
        <f t="shared" ref="H57" si="11">G57/F57*100</f>
        <v>100</v>
      </c>
    </row>
    <row r="58" spans="1:8" x14ac:dyDescent="0.25">
      <c r="A58" s="229">
        <v>3232</v>
      </c>
      <c r="B58" s="230"/>
      <c r="C58" s="231"/>
      <c r="D58" s="29" t="s">
        <v>59</v>
      </c>
      <c r="E58" s="91">
        <v>5742.3173402349184</v>
      </c>
      <c r="F58" s="32">
        <v>43243.9</v>
      </c>
      <c r="G58" s="32">
        <v>43243.9</v>
      </c>
      <c r="H58" s="32"/>
    </row>
    <row r="59" spans="1:8" ht="45" customHeight="1" x14ac:dyDescent="0.25">
      <c r="A59" s="220" t="s">
        <v>101</v>
      </c>
      <c r="B59" s="221"/>
      <c r="C59" s="222"/>
      <c r="D59" s="27" t="s">
        <v>60</v>
      </c>
      <c r="E59" s="40">
        <v>30787.368770323177</v>
      </c>
      <c r="F59" s="28">
        <f>F60+F70+F77+F83+F89+F116</f>
        <v>310026.46999999997</v>
      </c>
      <c r="G59" s="28">
        <f>G60+G70+G77+G83+G89+G116</f>
        <v>310026.48</v>
      </c>
      <c r="H59" s="28">
        <f t="shared" ref="H59:H63" si="12">G59/F59*100</f>
        <v>100.00000322553105</v>
      </c>
    </row>
    <row r="60" spans="1:8" ht="14.25" customHeight="1" x14ac:dyDescent="0.25">
      <c r="A60" s="214" t="s">
        <v>73</v>
      </c>
      <c r="B60" s="215"/>
      <c r="C60" s="216"/>
      <c r="D60" s="34" t="s">
        <v>104</v>
      </c>
      <c r="E60" s="87">
        <v>663.61404207313024</v>
      </c>
      <c r="F60" s="37">
        <f t="shared" ref="F60:G62" si="13">F61</f>
        <v>5000</v>
      </c>
      <c r="G60" s="37">
        <f t="shared" si="13"/>
        <v>5000</v>
      </c>
      <c r="H60" s="37">
        <f t="shared" si="12"/>
        <v>100</v>
      </c>
    </row>
    <row r="61" spans="1:8" ht="15" customHeight="1" x14ac:dyDescent="0.25">
      <c r="A61" s="199" t="s">
        <v>105</v>
      </c>
      <c r="B61" s="200"/>
      <c r="C61" s="201"/>
      <c r="D61" s="38" t="s">
        <v>14</v>
      </c>
      <c r="E61" s="88">
        <v>663.61404207313024</v>
      </c>
      <c r="F61" s="38">
        <f t="shared" si="13"/>
        <v>5000</v>
      </c>
      <c r="G61" s="38">
        <f t="shared" si="13"/>
        <v>5000</v>
      </c>
      <c r="H61" s="38">
        <f t="shared" si="12"/>
        <v>100</v>
      </c>
    </row>
    <row r="62" spans="1:8" x14ac:dyDescent="0.25">
      <c r="A62" s="202">
        <v>3</v>
      </c>
      <c r="B62" s="203"/>
      <c r="C62" s="204"/>
      <c r="D62" s="35" t="s">
        <v>16</v>
      </c>
      <c r="E62" s="89">
        <v>663.61404207313024</v>
      </c>
      <c r="F62" s="36">
        <f t="shared" si="13"/>
        <v>5000</v>
      </c>
      <c r="G62" s="36">
        <f t="shared" si="13"/>
        <v>5000</v>
      </c>
      <c r="H62" s="36">
        <f t="shared" si="12"/>
        <v>100</v>
      </c>
    </row>
    <row r="63" spans="1:8" x14ac:dyDescent="0.25">
      <c r="A63" s="205">
        <v>32</v>
      </c>
      <c r="B63" s="206"/>
      <c r="C63" s="207"/>
      <c r="D63" s="59" t="s">
        <v>23</v>
      </c>
      <c r="E63" s="90">
        <v>663.61404207313024</v>
      </c>
      <c r="F63" s="58">
        <f>F68</f>
        <v>5000</v>
      </c>
      <c r="G63" s="58">
        <f>G68</f>
        <v>5000</v>
      </c>
      <c r="H63" s="58">
        <f t="shared" si="12"/>
        <v>100</v>
      </c>
    </row>
    <row r="64" spans="1:8" hidden="1" x14ac:dyDescent="0.25">
      <c r="A64" s="208">
        <v>3211</v>
      </c>
      <c r="B64" s="209"/>
      <c r="C64" s="210"/>
      <c r="D64" s="26" t="s">
        <v>36</v>
      </c>
      <c r="E64" s="91"/>
      <c r="F64" s="32"/>
      <c r="G64" s="32"/>
      <c r="H64" s="32"/>
    </row>
    <row r="65" spans="1:8" hidden="1" x14ac:dyDescent="0.25">
      <c r="A65" s="208">
        <v>3213</v>
      </c>
      <c r="B65" s="209">
        <v>3213</v>
      </c>
      <c r="C65" s="210">
        <v>3213</v>
      </c>
      <c r="D65" s="26" t="s">
        <v>37</v>
      </c>
      <c r="E65" s="91"/>
      <c r="F65" s="32"/>
      <c r="G65" s="32"/>
      <c r="H65" s="32"/>
    </row>
    <row r="66" spans="1:8" hidden="1" x14ac:dyDescent="0.25">
      <c r="A66" s="208">
        <v>3221</v>
      </c>
      <c r="B66" s="209">
        <v>3221</v>
      </c>
      <c r="C66" s="210">
        <v>3221</v>
      </c>
      <c r="D66" s="26" t="s">
        <v>38</v>
      </c>
      <c r="E66" s="91"/>
      <c r="F66" s="32"/>
      <c r="G66" s="32"/>
      <c r="H66" s="32"/>
    </row>
    <row r="67" spans="1:8" hidden="1" x14ac:dyDescent="0.25">
      <c r="A67" s="208" t="s">
        <v>141</v>
      </c>
      <c r="B67" s="209">
        <v>3223</v>
      </c>
      <c r="C67" s="210">
        <v>3223</v>
      </c>
      <c r="D67" s="29" t="s">
        <v>50</v>
      </c>
      <c r="E67" s="91"/>
      <c r="F67" s="32"/>
      <c r="G67" s="32"/>
      <c r="H67" s="32"/>
    </row>
    <row r="68" spans="1:8" x14ac:dyDescent="0.25">
      <c r="A68" s="196" t="s">
        <v>175</v>
      </c>
      <c r="B68" s="197"/>
      <c r="C68" s="198"/>
      <c r="D68" s="163" t="s">
        <v>63</v>
      </c>
      <c r="E68" s="164">
        <v>608.33499236843852</v>
      </c>
      <c r="F68" s="165">
        <f>SUM(F69)</f>
        <v>5000</v>
      </c>
      <c r="G68" s="165">
        <f>SUM(G69)</f>
        <v>5000</v>
      </c>
      <c r="H68" s="165">
        <f t="shared" ref="H68" si="14">G68/F68*100</f>
        <v>100</v>
      </c>
    </row>
    <row r="69" spans="1:8" x14ac:dyDescent="0.25">
      <c r="A69" s="208" t="s">
        <v>143</v>
      </c>
      <c r="B69" s="209">
        <v>3213</v>
      </c>
      <c r="C69" s="210">
        <v>3213</v>
      </c>
      <c r="D69" s="26" t="s">
        <v>63</v>
      </c>
      <c r="E69" s="91">
        <v>663.61404207313024</v>
      </c>
      <c r="F69" s="32">
        <v>5000</v>
      </c>
      <c r="G69" s="32">
        <v>5000</v>
      </c>
      <c r="H69" s="32"/>
    </row>
    <row r="70" spans="1:8" ht="14.25" customHeight="1" x14ac:dyDescent="0.25">
      <c r="A70" s="214" t="s">
        <v>61</v>
      </c>
      <c r="B70" s="215"/>
      <c r="C70" s="216"/>
      <c r="D70" s="34" t="s">
        <v>106</v>
      </c>
      <c r="E70" s="87">
        <v>0</v>
      </c>
      <c r="F70" s="37">
        <f t="shared" ref="F70:G72" si="15">F71</f>
        <v>11308.11</v>
      </c>
      <c r="G70" s="37">
        <f t="shared" si="15"/>
        <v>11308.11</v>
      </c>
      <c r="H70" s="37">
        <f t="shared" ref="H70:H74" si="16">G70/F70*100</f>
        <v>100</v>
      </c>
    </row>
    <row r="71" spans="1:8" ht="15" customHeight="1" x14ac:dyDescent="0.25">
      <c r="A71" s="199" t="s">
        <v>105</v>
      </c>
      <c r="B71" s="200"/>
      <c r="C71" s="201"/>
      <c r="D71" s="38" t="s">
        <v>14</v>
      </c>
      <c r="E71" s="88">
        <v>0</v>
      </c>
      <c r="F71" s="38">
        <f t="shared" si="15"/>
        <v>11308.11</v>
      </c>
      <c r="G71" s="38">
        <f t="shared" si="15"/>
        <v>11308.11</v>
      </c>
      <c r="H71" s="38">
        <f t="shared" si="16"/>
        <v>100</v>
      </c>
    </row>
    <row r="72" spans="1:8" x14ac:dyDescent="0.25">
      <c r="A72" s="202">
        <v>3</v>
      </c>
      <c r="B72" s="203"/>
      <c r="C72" s="204"/>
      <c r="D72" s="35" t="s">
        <v>16</v>
      </c>
      <c r="E72" s="89">
        <v>0</v>
      </c>
      <c r="F72" s="36">
        <f t="shared" si="15"/>
        <v>11308.11</v>
      </c>
      <c r="G72" s="36">
        <f t="shared" si="15"/>
        <v>11308.11</v>
      </c>
      <c r="H72" s="36">
        <f t="shared" si="16"/>
        <v>100</v>
      </c>
    </row>
    <row r="73" spans="1:8" x14ac:dyDescent="0.25">
      <c r="A73" s="205">
        <v>32</v>
      </c>
      <c r="B73" s="206"/>
      <c r="C73" s="207"/>
      <c r="D73" s="59" t="s">
        <v>23</v>
      </c>
      <c r="E73" s="90">
        <v>0</v>
      </c>
      <c r="F73" s="58">
        <f>F74</f>
        <v>11308.11</v>
      </c>
      <c r="G73" s="58">
        <f>G74</f>
        <v>11308.11</v>
      </c>
      <c r="H73" s="58">
        <f t="shared" si="16"/>
        <v>100</v>
      </c>
    </row>
    <row r="74" spans="1:8" x14ac:dyDescent="0.25">
      <c r="A74" s="196" t="s">
        <v>175</v>
      </c>
      <c r="B74" s="197"/>
      <c r="C74" s="198"/>
      <c r="D74" s="163" t="s">
        <v>63</v>
      </c>
      <c r="E74" s="164">
        <v>608.33499236843852</v>
      </c>
      <c r="F74" s="165">
        <f>SUM(F75:F76)</f>
        <v>11308.11</v>
      </c>
      <c r="G74" s="165">
        <f>SUM(G75:G76)</f>
        <v>11308.11</v>
      </c>
      <c r="H74" s="165">
        <f t="shared" si="16"/>
        <v>100</v>
      </c>
    </row>
    <row r="75" spans="1:8" x14ac:dyDescent="0.25">
      <c r="A75" s="208" t="s">
        <v>142</v>
      </c>
      <c r="B75" s="209"/>
      <c r="C75" s="210"/>
      <c r="D75" s="26" t="s">
        <v>62</v>
      </c>
      <c r="E75" s="91"/>
      <c r="F75" s="32">
        <v>7978.8</v>
      </c>
      <c r="G75" s="32">
        <v>7978.8</v>
      </c>
      <c r="H75" s="32"/>
    </row>
    <row r="76" spans="1:8" x14ac:dyDescent="0.25">
      <c r="A76" s="208" t="s">
        <v>143</v>
      </c>
      <c r="B76" s="209">
        <v>3213</v>
      </c>
      <c r="C76" s="210">
        <v>3213</v>
      </c>
      <c r="D76" s="26" t="s">
        <v>63</v>
      </c>
      <c r="E76" s="91"/>
      <c r="F76" s="32">
        <v>3329.31</v>
      </c>
      <c r="G76" s="32">
        <v>3329.31</v>
      </c>
      <c r="H76" s="32"/>
    </row>
    <row r="77" spans="1:8" ht="14.25" customHeight="1" x14ac:dyDescent="0.25">
      <c r="A77" s="214" t="s">
        <v>64</v>
      </c>
      <c r="B77" s="215"/>
      <c r="C77" s="216"/>
      <c r="D77" s="34" t="s">
        <v>107</v>
      </c>
      <c r="E77" s="87">
        <v>0</v>
      </c>
      <c r="F77" s="37">
        <f t="shared" ref="F77:G79" si="17">F78</f>
        <v>4000</v>
      </c>
      <c r="G77" s="37">
        <f t="shared" si="17"/>
        <v>4000</v>
      </c>
      <c r="H77" s="37">
        <f t="shared" ref="H77:H79" si="18">G77/F77*100</f>
        <v>100</v>
      </c>
    </row>
    <row r="78" spans="1:8" ht="15" customHeight="1" x14ac:dyDescent="0.25">
      <c r="A78" s="199" t="s">
        <v>105</v>
      </c>
      <c r="B78" s="200"/>
      <c r="C78" s="201"/>
      <c r="D78" s="38" t="s">
        <v>14</v>
      </c>
      <c r="E78" s="88">
        <v>0</v>
      </c>
      <c r="F78" s="38">
        <f t="shared" si="17"/>
        <v>4000</v>
      </c>
      <c r="G78" s="38">
        <f t="shared" si="17"/>
        <v>4000</v>
      </c>
      <c r="H78" s="38">
        <f t="shared" si="18"/>
        <v>100</v>
      </c>
    </row>
    <row r="79" spans="1:8" x14ac:dyDescent="0.25">
      <c r="A79" s="202">
        <v>3</v>
      </c>
      <c r="B79" s="203"/>
      <c r="C79" s="204"/>
      <c r="D79" s="35" t="s">
        <v>16</v>
      </c>
      <c r="E79" s="89">
        <v>0</v>
      </c>
      <c r="F79" s="36">
        <f t="shared" si="17"/>
        <v>4000</v>
      </c>
      <c r="G79" s="36">
        <f t="shared" si="17"/>
        <v>4000</v>
      </c>
      <c r="H79" s="36">
        <f t="shared" si="18"/>
        <v>100</v>
      </c>
    </row>
    <row r="80" spans="1:8" x14ac:dyDescent="0.25">
      <c r="A80" s="205">
        <v>32</v>
      </c>
      <c r="B80" s="206"/>
      <c r="C80" s="207"/>
      <c r="D80" s="59" t="s">
        <v>23</v>
      </c>
      <c r="E80" s="90">
        <v>0</v>
      </c>
      <c r="F80" s="58">
        <f>F82</f>
        <v>4000</v>
      </c>
      <c r="G80" s="58">
        <f>G82</f>
        <v>4000</v>
      </c>
      <c r="H80" s="58">
        <f>G80/F80*100</f>
        <v>100</v>
      </c>
    </row>
    <row r="81" spans="1:8" x14ac:dyDescent="0.25">
      <c r="A81" s="196" t="s">
        <v>175</v>
      </c>
      <c r="B81" s="197"/>
      <c r="C81" s="198"/>
      <c r="D81" s="163" t="s">
        <v>63</v>
      </c>
      <c r="E81" s="164">
        <v>608.33499236843852</v>
      </c>
      <c r="F81" s="165">
        <f>SUM(F82)</f>
        <v>4000</v>
      </c>
      <c r="G81" s="165">
        <f>SUM(G82)</f>
        <v>4000</v>
      </c>
      <c r="H81" s="165">
        <f t="shared" ref="H81" si="19">G81/F81*100</f>
        <v>100</v>
      </c>
    </row>
    <row r="82" spans="1:8" x14ac:dyDescent="0.25">
      <c r="A82" s="208" t="s">
        <v>143</v>
      </c>
      <c r="B82" s="209"/>
      <c r="C82" s="210"/>
      <c r="D82" s="29" t="s">
        <v>63</v>
      </c>
      <c r="E82" s="91"/>
      <c r="F82" s="32">
        <v>4000</v>
      </c>
      <c r="G82" s="32">
        <v>4000</v>
      </c>
      <c r="H82" s="32"/>
    </row>
    <row r="83" spans="1:8" ht="14.25" customHeight="1" x14ac:dyDescent="0.25">
      <c r="A83" s="214" t="s">
        <v>112</v>
      </c>
      <c r="B83" s="215"/>
      <c r="C83" s="216"/>
      <c r="D83" s="34" t="s">
        <v>111</v>
      </c>
      <c r="E83" s="87">
        <v>519.34965823876826</v>
      </c>
      <c r="F83" s="37">
        <f t="shared" ref="F83:G85" si="20">F84</f>
        <v>4000</v>
      </c>
      <c r="G83" s="37">
        <f t="shared" si="20"/>
        <v>4000</v>
      </c>
      <c r="H83" s="37">
        <f t="shared" ref="H83:H87" si="21">G83/F83*100</f>
        <v>100</v>
      </c>
    </row>
    <row r="84" spans="1:8" ht="15" customHeight="1" x14ac:dyDescent="0.25">
      <c r="A84" s="199" t="s">
        <v>105</v>
      </c>
      <c r="B84" s="200"/>
      <c r="C84" s="201"/>
      <c r="D84" s="38" t="s">
        <v>14</v>
      </c>
      <c r="E84" s="88">
        <v>519.34965823876826</v>
      </c>
      <c r="F84" s="38">
        <f t="shared" si="20"/>
        <v>4000</v>
      </c>
      <c r="G84" s="38">
        <f t="shared" si="20"/>
        <v>4000</v>
      </c>
      <c r="H84" s="38">
        <f t="shared" si="21"/>
        <v>100</v>
      </c>
    </row>
    <row r="85" spans="1:8" x14ac:dyDescent="0.25">
      <c r="A85" s="202">
        <v>3</v>
      </c>
      <c r="B85" s="203"/>
      <c r="C85" s="204"/>
      <c r="D85" s="35" t="s">
        <v>16</v>
      </c>
      <c r="E85" s="89">
        <v>519.34965823876826</v>
      </c>
      <c r="F85" s="36">
        <f t="shared" si="20"/>
        <v>4000</v>
      </c>
      <c r="G85" s="36">
        <f t="shared" si="20"/>
        <v>4000</v>
      </c>
      <c r="H85" s="36">
        <f t="shared" si="21"/>
        <v>100</v>
      </c>
    </row>
    <row r="86" spans="1:8" x14ac:dyDescent="0.25">
      <c r="A86" s="205">
        <v>32</v>
      </c>
      <c r="B86" s="206"/>
      <c r="C86" s="207"/>
      <c r="D86" s="59" t="s">
        <v>23</v>
      </c>
      <c r="E86" s="90">
        <v>519.34965823876826</v>
      </c>
      <c r="F86" s="58">
        <f>F88</f>
        <v>4000</v>
      </c>
      <c r="G86" s="58">
        <f>G88</f>
        <v>4000</v>
      </c>
      <c r="H86" s="58">
        <f t="shared" si="21"/>
        <v>100</v>
      </c>
    </row>
    <row r="87" spans="1:8" x14ac:dyDescent="0.25">
      <c r="A87" s="196" t="s">
        <v>181</v>
      </c>
      <c r="B87" s="197"/>
      <c r="C87" s="198"/>
      <c r="D87" s="163" t="s">
        <v>58</v>
      </c>
      <c r="E87" s="164">
        <v>608.33499236843852</v>
      </c>
      <c r="F87" s="165">
        <f>F88</f>
        <v>4000</v>
      </c>
      <c r="G87" s="165">
        <f>G88</f>
        <v>4000</v>
      </c>
      <c r="H87" s="165">
        <f t="shared" si="21"/>
        <v>100</v>
      </c>
    </row>
    <row r="88" spans="1:8" x14ac:dyDescent="0.25">
      <c r="A88" s="208" t="s">
        <v>149</v>
      </c>
      <c r="B88" s="209"/>
      <c r="C88" s="210"/>
      <c r="D88" s="29" t="s">
        <v>48</v>
      </c>
      <c r="E88" s="91">
        <v>519.34965823876826</v>
      </c>
      <c r="F88" s="32">
        <v>4000</v>
      </c>
      <c r="G88" s="32">
        <v>4000</v>
      </c>
      <c r="H88" s="32"/>
    </row>
    <row r="89" spans="1:8" ht="14.25" customHeight="1" x14ac:dyDescent="0.25">
      <c r="A89" s="214" t="s">
        <v>108</v>
      </c>
      <c r="B89" s="215"/>
      <c r="C89" s="216"/>
      <c r="D89" s="34" t="s">
        <v>109</v>
      </c>
      <c r="E89" s="87">
        <v>0</v>
      </c>
      <c r="F89" s="37">
        <f>F90+F103</f>
        <v>98472.37000000001</v>
      </c>
      <c r="G89" s="37">
        <f>G90+G103</f>
        <v>98472.38</v>
      </c>
      <c r="H89" s="37">
        <f t="shared" ref="H89:H93" si="22">G89/F89*100</f>
        <v>100.00001015513284</v>
      </c>
    </row>
    <row r="90" spans="1:8" ht="15" customHeight="1" x14ac:dyDescent="0.25">
      <c r="A90" s="199" t="s">
        <v>105</v>
      </c>
      <c r="B90" s="200"/>
      <c r="C90" s="201"/>
      <c r="D90" s="38" t="s">
        <v>14</v>
      </c>
      <c r="E90" s="88">
        <v>0</v>
      </c>
      <c r="F90" s="38">
        <f>F91</f>
        <v>14770.86</v>
      </c>
      <c r="G90" s="38">
        <f>G91</f>
        <v>14770.86</v>
      </c>
      <c r="H90" s="38">
        <f t="shared" si="22"/>
        <v>100</v>
      </c>
    </row>
    <row r="91" spans="1:8" x14ac:dyDescent="0.25">
      <c r="A91" s="202">
        <v>3</v>
      </c>
      <c r="B91" s="203"/>
      <c r="C91" s="204"/>
      <c r="D91" s="35" t="s">
        <v>16</v>
      </c>
      <c r="E91" s="89">
        <v>0</v>
      </c>
      <c r="F91" s="36">
        <f>F92+F99</f>
        <v>14770.86</v>
      </c>
      <c r="G91" s="36">
        <f>G92+G99</f>
        <v>14770.86</v>
      </c>
      <c r="H91" s="36">
        <f t="shared" si="22"/>
        <v>100</v>
      </c>
    </row>
    <row r="92" spans="1:8" x14ac:dyDescent="0.25">
      <c r="A92" s="205">
        <v>31</v>
      </c>
      <c r="B92" s="206"/>
      <c r="C92" s="207"/>
      <c r="D92" s="59" t="s">
        <v>17</v>
      </c>
      <c r="E92" s="90">
        <v>0</v>
      </c>
      <c r="F92" s="58">
        <f>F93+F95+F97</f>
        <v>13832.93</v>
      </c>
      <c r="G92" s="58">
        <f>G93+G95+G97</f>
        <v>13832.93</v>
      </c>
      <c r="H92" s="58">
        <f t="shared" si="22"/>
        <v>100</v>
      </c>
    </row>
    <row r="93" spans="1:8" x14ac:dyDescent="0.25">
      <c r="A93" s="196" t="s">
        <v>170</v>
      </c>
      <c r="B93" s="197"/>
      <c r="C93" s="198"/>
      <c r="D93" s="163" t="s">
        <v>359</v>
      </c>
      <c r="E93" s="164">
        <v>608.33499236843852</v>
      </c>
      <c r="F93" s="165">
        <f>F94</f>
        <v>10296.5</v>
      </c>
      <c r="G93" s="165">
        <f>G94</f>
        <v>10296.51</v>
      </c>
      <c r="H93" s="165">
        <f t="shared" si="22"/>
        <v>100.00009712038072</v>
      </c>
    </row>
    <row r="94" spans="1:8" x14ac:dyDescent="0.25">
      <c r="A94" s="208" t="s">
        <v>144</v>
      </c>
      <c r="B94" s="209"/>
      <c r="C94" s="210"/>
      <c r="D94" s="29" t="s">
        <v>65</v>
      </c>
      <c r="E94" s="91"/>
      <c r="F94" s="32">
        <v>10296.5</v>
      </c>
      <c r="G94" s="32">
        <v>10296.51</v>
      </c>
      <c r="H94" s="32"/>
    </row>
    <row r="95" spans="1:8" x14ac:dyDescent="0.25">
      <c r="A95" s="196" t="s">
        <v>171</v>
      </c>
      <c r="B95" s="197"/>
      <c r="C95" s="198"/>
      <c r="D95" s="163" t="s">
        <v>360</v>
      </c>
      <c r="E95" s="164">
        <v>608.33499236843852</v>
      </c>
      <c r="F95" s="165">
        <f>F96</f>
        <v>1837.5</v>
      </c>
      <c r="G95" s="165">
        <f>G96</f>
        <v>1837.5</v>
      </c>
      <c r="H95" s="165">
        <f t="shared" ref="H95" si="23">G95/F95*100</f>
        <v>100</v>
      </c>
    </row>
    <row r="96" spans="1:8" x14ac:dyDescent="0.25">
      <c r="A96" s="208" t="s">
        <v>145</v>
      </c>
      <c r="B96" s="209"/>
      <c r="C96" s="210"/>
      <c r="D96" s="29" t="s">
        <v>66</v>
      </c>
      <c r="E96" s="91"/>
      <c r="F96" s="32">
        <v>1837.5</v>
      </c>
      <c r="G96" s="32">
        <v>1837.5</v>
      </c>
      <c r="H96" s="32"/>
    </row>
    <row r="97" spans="1:8" x14ac:dyDescent="0.25">
      <c r="A97" s="196" t="s">
        <v>172</v>
      </c>
      <c r="B97" s="197"/>
      <c r="C97" s="198"/>
      <c r="D97" s="163" t="s">
        <v>67</v>
      </c>
      <c r="E97" s="164">
        <v>608.33499236843852</v>
      </c>
      <c r="F97" s="165">
        <f>F98</f>
        <v>1698.93</v>
      </c>
      <c r="G97" s="165">
        <f>G98</f>
        <v>1698.92</v>
      </c>
      <c r="H97" s="165">
        <f t="shared" ref="H97" si="24">G97/F97*100</f>
        <v>99.999411394230492</v>
      </c>
    </row>
    <row r="98" spans="1:8" x14ac:dyDescent="0.25">
      <c r="A98" s="208" t="s">
        <v>146</v>
      </c>
      <c r="B98" s="209"/>
      <c r="C98" s="210"/>
      <c r="D98" s="29" t="s">
        <v>68</v>
      </c>
      <c r="E98" s="91"/>
      <c r="F98" s="32">
        <v>1698.93</v>
      </c>
      <c r="G98" s="32">
        <v>1698.92</v>
      </c>
      <c r="H98" s="32"/>
    </row>
    <row r="99" spans="1:8" x14ac:dyDescent="0.25">
      <c r="A99" s="205">
        <v>32</v>
      </c>
      <c r="B99" s="206"/>
      <c r="C99" s="207"/>
      <c r="D99" s="59" t="s">
        <v>23</v>
      </c>
      <c r="E99" s="90">
        <v>0</v>
      </c>
      <c r="F99" s="58">
        <f>F100</f>
        <v>937.93</v>
      </c>
      <c r="G99" s="58">
        <f>SUM(G101:G102)</f>
        <v>937.93</v>
      </c>
      <c r="H99" s="58">
        <f>G99/F99*100</f>
        <v>100</v>
      </c>
    </row>
    <row r="100" spans="1:8" x14ac:dyDescent="0.25">
      <c r="A100" s="196" t="s">
        <v>174</v>
      </c>
      <c r="B100" s="197"/>
      <c r="C100" s="198"/>
      <c r="D100" s="163" t="s">
        <v>69</v>
      </c>
      <c r="E100" s="164">
        <v>608.33499236843852</v>
      </c>
      <c r="F100" s="165">
        <f>SUM(F101:F102)</f>
        <v>937.93</v>
      </c>
      <c r="G100" s="165">
        <f>SUM(G101:G102)</f>
        <v>937.93</v>
      </c>
      <c r="H100" s="165">
        <f t="shared" ref="H100" si="25">G100/F100*100</f>
        <v>100</v>
      </c>
    </row>
    <row r="101" spans="1:8" x14ac:dyDescent="0.25">
      <c r="A101" s="208" t="s">
        <v>147</v>
      </c>
      <c r="B101" s="209"/>
      <c r="C101" s="210"/>
      <c r="D101" s="29" t="s">
        <v>36</v>
      </c>
      <c r="E101" s="91"/>
      <c r="F101" s="32">
        <v>27.9</v>
      </c>
      <c r="G101" s="32">
        <v>27.9</v>
      </c>
      <c r="H101" s="32"/>
    </row>
    <row r="102" spans="1:8" x14ac:dyDescent="0.25">
      <c r="A102" s="208" t="s">
        <v>148</v>
      </c>
      <c r="B102" s="209"/>
      <c r="C102" s="210"/>
      <c r="D102" s="29" t="s">
        <v>70</v>
      </c>
      <c r="E102" s="91"/>
      <c r="F102" s="32">
        <v>910.03</v>
      </c>
      <c r="G102" s="32">
        <v>910.03</v>
      </c>
      <c r="H102" s="32"/>
    </row>
    <row r="103" spans="1:8" ht="15" customHeight="1" x14ac:dyDescent="0.25">
      <c r="A103" s="199" t="s">
        <v>222</v>
      </c>
      <c r="B103" s="200"/>
      <c r="C103" s="201"/>
      <c r="D103" s="38" t="s">
        <v>110</v>
      </c>
      <c r="E103" s="88">
        <v>0</v>
      </c>
      <c r="F103" s="38">
        <f>F104</f>
        <v>83701.510000000009</v>
      </c>
      <c r="G103" s="38">
        <f>G104</f>
        <v>83701.52</v>
      </c>
      <c r="H103" s="38">
        <f t="shared" ref="H103:H106" si="26">G103/F103*100</f>
        <v>100.00001194721575</v>
      </c>
    </row>
    <row r="104" spans="1:8" x14ac:dyDescent="0.25">
      <c r="A104" s="202">
        <v>3</v>
      </c>
      <c r="B104" s="203"/>
      <c r="C104" s="204"/>
      <c r="D104" s="35" t="s">
        <v>16</v>
      </c>
      <c r="E104" s="89">
        <v>0</v>
      </c>
      <c r="F104" s="36">
        <f>F105+F112</f>
        <v>83701.510000000009</v>
      </c>
      <c r="G104" s="36">
        <f>G105+G112</f>
        <v>83701.52</v>
      </c>
      <c r="H104" s="36">
        <f t="shared" si="26"/>
        <v>100.00001194721575</v>
      </c>
    </row>
    <row r="105" spans="1:8" x14ac:dyDescent="0.25">
      <c r="A105" s="205">
        <v>31</v>
      </c>
      <c r="B105" s="206"/>
      <c r="C105" s="207"/>
      <c r="D105" s="59" t="s">
        <v>17</v>
      </c>
      <c r="E105" s="90">
        <v>0</v>
      </c>
      <c r="F105" s="58">
        <f>F106+F108+F110</f>
        <v>78386.600000000006</v>
      </c>
      <c r="G105" s="58">
        <f>G106+G108+G110</f>
        <v>78386.61</v>
      </c>
      <c r="H105" s="58">
        <f t="shared" si="26"/>
        <v>100.00001275728249</v>
      </c>
    </row>
    <row r="106" spans="1:8" x14ac:dyDescent="0.25">
      <c r="A106" s="196" t="s">
        <v>170</v>
      </c>
      <c r="B106" s="197"/>
      <c r="C106" s="198"/>
      <c r="D106" s="163" t="s">
        <v>359</v>
      </c>
      <c r="E106" s="164">
        <v>608.33499236843852</v>
      </c>
      <c r="F106" s="165">
        <f>F107</f>
        <v>58346.86</v>
      </c>
      <c r="G106" s="165">
        <f>G107</f>
        <v>58346.86</v>
      </c>
      <c r="H106" s="165">
        <f t="shared" si="26"/>
        <v>100</v>
      </c>
    </row>
    <row r="107" spans="1:8" x14ac:dyDescent="0.25">
      <c r="A107" s="208" t="s">
        <v>144</v>
      </c>
      <c r="B107" s="209"/>
      <c r="C107" s="210"/>
      <c r="D107" s="29" t="s">
        <v>65</v>
      </c>
      <c r="E107" s="91"/>
      <c r="F107" s="32">
        <v>58346.86</v>
      </c>
      <c r="G107" s="32">
        <v>58346.86</v>
      </c>
      <c r="H107" s="32"/>
    </row>
    <row r="108" spans="1:8" x14ac:dyDescent="0.25">
      <c r="A108" s="196" t="s">
        <v>171</v>
      </c>
      <c r="B108" s="197"/>
      <c r="C108" s="198"/>
      <c r="D108" s="163" t="s">
        <v>360</v>
      </c>
      <c r="E108" s="164">
        <v>608.33499236843852</v>
      </c>
      <c r="F108" s="165">
        <f>F109</f>
        <v>10412.5</v>
      </c>
      <c r="G108" s="165">
        <f>G109</f>
        <v>10412.5</v>
      </c>
      <c r="H108" s="165">
        <f t="shared" ref="H108" si="27">G108/F108*100</f>
        <v>100</v>
      </c>
    </row>
    <row r="109" spans="1:8" x14ac:dyDescent="0.25">
      <c r="A109" s="208" t="s">
        <v>145</v>
      </c>
      <c r="B109" s="209"/>
      <c r="C109" s="210"/>
      <c r="D109" s="29" t="s">
        <v>66</v>
      </c>
      <c r="E109" s="91"/>
      <c r="F109" s="32">
        <v>10412.5</v>
      </c>
      <c r="G109" s="32">
        <v>10412.5</v>
      </c>
      <c r="H109" s="32"/>
    </row>
    <row r="110" spans="1:8" x14ac:dyDescent="0.25">
      <c r="A110" s="196" t="s">
        <v>172</v>
      </c>
      <c r="B110" s="197"/>
      <c r="C110" s="198"/>
      <c r="D110" s="163" t="s">
        <v>67</v>
      </c>
      <c r="E110" s="164">
        <v>608.33499236843852</v>
      </c>
      <c r="F110" s="165">
        <f>F111</f>
        <v>9627.24</v>
      </c>
      <c r="G110" s="165">
        <f>G111</f>
        <v>9627.25</v>
      </c>
      <c r="H110" s="165">
        <f t="shared" ref="H110" si="28">G110/F110*100</f>
        <v>100.00010387193005</v>
      </c>
    </row>
    <row r="111" spans="1:8" x14ac:dyDescent="0.25">
      <c r="A111" s="208" t="s">
        <v>146</v>
      </c>
      <c r="B111" s="209"/>
      <c r="C111" s="210"/>
      <c r="D111" s="29" t="s">
        <v>68</v>
      </c>
      <c r="E111" s="91"/>
      <c r="F111" s="32">
        <v>9627.24</v>
      </c>
      <c r="G111" s="32">
        <v>9627.25</v>
      </c>
      <c r="H111" s="32"/>
    </row>
    <row r="112" spans="1:8" x14ac:dyDescent="0.25">
      <c r="A112" s="205">
        <v>32</v>
      </c>
      <c r="B112" s="206"/>
      <c r="C112" s="207"/>
      <c r="D112" s="59" t="s">
        <v>23</v>
      </c>
      <c r="E112" s="90">
        <v>0</v>
      </c>
      <c r="F112" s="58">
        <f>F113</f>
        <v>5314.9100000000008</v>
      </c>
      <c r="G112" s="58">
        <f>G113</f>
        <v>5314.9100000000008</v>
      </c>
      <c r="H112" s="58">
        <f>G112/F112*100</f>
        <v>100</v>
      </c>
    </row>
    <row r="113" spans="1:8" x14ac:dyDescent="0.25">
      <c r="A113" s="196" t="s">
        <v>174</v>
      </c>
      <c r="B113" s="197"/>
      <c r="C113" s="198"/>
      <c r="D113" s="163" t="s">
        <v>69</v>
      </c>
      <c r="E113" s="164">
        <v>608.33499236843852</v>
      </c>
      <c r="F113" s="165">
        <f>SUM(F114:F115)</f>
        <v>5314.9100000000008</v>
      </c>
      <c r="G113" s="165">
        <f>SUM(G114:G115)</f>
        <v>5314.9100000000008</v>
      </c>
      <c r="H113" s="165">
        <f t="shared" ref="H113" si="29">G113/F113*100</f>
        <v>100</v>
      </c>
    </row>
    <row r="114" spans="1:8" x14ac:dyDescent="0.25">
      <c r="A114" s="208" t="s">
        <v>147</v>
      </c>
      <c r="B114" s="209"/>
      <c r="C114" s="210"/>
      <c r="D114" s="29" t="s">
        <v>36</v>
      </c>
      <c r="E114" s="91"/>
      <c r="F114" s="32">
        <v>158.1</v>
      </c>
      <c r="G114" s="32">
        <v>158.1</v>
      </c>
      <c r="H114" s="32"/>
    </row>
    <row r="115" spans="1:8" x14ac:dyDescent="0.25">
      <c r="A115" s="208" t="s">
        <v>148</v>
      </c>
      <c r="B115" s="209"/>
      <c r="C115" s="210"/>
      <c r="D115" s="29" t="s">
        <v>70</v>
      </c>
      <c r="E115" s="91"/>
      <c r="F115" s="32">
        <v>5156.8100000000004</v>
      </c>
      <c r="G115" s="32">
        <v>5156.8100000000004</v>
      </c>
      <c r="H115" s="32"/>
    </row>
    <row r="116" spans="1:8" ht="14.25" customHeight="1" x14ac:dyDescent="0.25">
      <c r="A116" s="214" t="s">
        <v>210</v>
      </c>
      <c r="B116" s="215"/>
      <c r="C116" s="216"/>
      <c r="D116" s="34" t="s">
        <v>209</v>
      </c>
      <c r="E116" s="87">
        <v>9583.422921229012</v>
      </c>
      <c r="F116" s="37">
        <f>F117+F130</f>
        <v>187245.99</v>
      </c>
      <c r="G116" s="37">
        <f>G117+G130</f>
        <v>187245.99</v>
      </c>
      <c r="H116" s="37">
        <f t="shared" ref="H116:H120" si="30">G116/F116*100</f>
        <v>100</v>
      </c>
    </row>
    <row r="117" spans="1:8" ht="15" customHeight="1" x14ac:dyDescent="0.25">
      <c r="A117" s="199" t="s">
        <v>105</v>
      </c>
      <c r="B117" s="200"/>
      <c r="C117" s="201"/>
      <c r="D117" s="38" t="s">
        <v>14</v>
      </c>
      <c r="E117" s="88">
        <v>1437.5154290264782</v>
      </c>
      <c r="F117" s="38">
        <f>F118</f>
        <v>28086.89</v>
      </c>
      <c r="G117" s="38">
        <f>G118</f>
        <v>28086.89</v>
      </c>
      <c r="H117" s="38">
        <f t="shared" si="30"/>
        <v>100</v>
      </c>
    </row>
    <row r="118" spans="1:8" x14ac:dyDescent="0.25">
      <c r="A118" s="202">
        <v>3</v>
      </c>
      <c r="B118" s="203"/>
      <c r="C118" s="204"/>
      <c r="D118" s="46" t="s">
        <v>16</v>
      </c>
      <c r="E118" s="89">
        <v>1437.5154290264782</v>
      </c>
      <c r="F118" s="36">
        <f>F119+F126</f>
        <v>28086.89</v>
      </c>
      <c r="G118" s="36">
        <f>G119+G126</f>
        <v>28086.89</v>
      </c>
      <c r="H118" s="36">
        <f t="shared" si="30"/>
        <v>100</v>
      </c>
    </row>
    <row r="119" spans="1:8" x14ac:dyDescent="0.25">
      <c r="A119" s="205">
        <v>31</v>
      </c>
      <c r="B119" s="206"/>
      <c r="C119" s="207"/>
      <c r="D119" s="59" t="s">
        <v>17</v>
      </c>
      <c r="E119" s="90">
        <v>1431.0292653792553</v>
      </c>
      <c r="F119" s="58">
        <f>F120+F122+F124</f>
        <v>27667.18</v>
      </c>
      <c r="G119" s="58">
        <f>G120+G122+G124</f>
        <v>27667.18</v>
      </c>
      <c r="H119" s="58">
        <f t="shared" si="30"/>
        <v>100</v>
      </c>
    </row>
    <row r="120" spans="1:8" x14ac:dyDescent="0.25">
      <c r="A120" s="196" t="s">
        <v>170</v>
      </c>
      <c r="B120" s="197"/>
      <c r="C120" s="198"/>
      <c r="D120" s="163" t="s">
        <v>359</v>
      </c>
      <c r="E120" s="164">
        <v>608.33499236843852</v>
      </c>
      <c r="F120" s="165">
        <f>F121</f>
        <v>23088.77</v>
      </c>
      <c r="G120" s="165">
        <f>G121</f>
        <v>23088.77</v>
      </c>
      <c r="H120" s="165">
        <f t="shared" si="30"/>
        <v>100</v>
      </c>
    </row>
    <row r="121" spans="1:8" x14ac:dyDescent="0.25">
      <c r="A121" s="208" t="s">
        <v>144</v>
      </c>
      <c r="B121" s="209"/>
      <c r="C121" s="210"/>
      <c r="D121" s="29" t="s">
        <v>65</v>
      </c>
      <c r="E121" s="91">
        <v>1125.8172406928129</v>
      </c>
      <c r="F121" s="32">
        <v>23088.77</v>
      </c>
      <c r="G121" s="32">
        <v>23088.77</v>
      </c>
      <c r="H121" s="32"/>
    </row>
    <row r="122" spans="1:8" x14ac:dyDescent="0.25">
      <c r="A122" s="196" t="s">
        <v>171</v>
      </c>
      <c r="B122" s="197"/>
      <c r="C122" s="198"/>
      <c r="D122" s="163" t="s">
        <v>360</v>
      </c>
      <c r="E122" s="164">
        <v>608.33499236843852</v>
      </c>
      <c r="F122" s="165">
        <f>F123</f>
        <v>768.75</v>
      </c>
      <c r="G122" s="165">
        <f>G123</f>
        <v>768.75</v>
      </c>
      <c r="H122" s="165">
        <f t="shared" ref="H122" si="31">G122/F122*100</f>
        <v>100</v>
      </c>
    </row>
    <row r="123" spans="1:8" x14ac:dyDescent="0.25">
      <c r="A123" s="208" t="s">
        <v>145</v>
      </c>
      <c r="B123" s="209"/>
      <c r="C123" s="210"/>
      <c r="D123" s="29" t="s">
        <v>66</v>
      </c>
      <c r="E123" s="91">
        <v>119.45052757316344</v>
      </c>
      <c r="F123" s="32">
        <v>768.75</v>
      </c>
      <c r="G123" s="32">
        <v>768.75</v>
      </c>
      <c r="H123" s="32"/>
    </row>
    <row r="124" spans="1:8" x14ac:dyDescent="0.25">
      <c r="A124" s="196" t="s">
        <v>172</v>
      </c>
      <c r="B124" s="197"/>
      <c r="C124" s="198"/>
      <c r="D124" s="163" t="s">
        <v>67</v>
      </c>
      <c r="E124" s="164">
        <v>608.33499236843852</v>
      </c>
      <c r="F124" s="165">
        <f>F125</f>
        <v>3809.66</v>
      </c>
      <c r="G124" s="165">
        <f>G125</f>
        <v>3809.66</v>
      </c>
      <c r="H124" s="165">
        <f t="shared" ref="H124" si="32">G124/F124*100</f>
        <v>100</v>
      </c>
    </row>
    <row r="125" spans="1:8" x14ac:dyDescent="0.25">
      <c r="A125" s="208" t="s">
        <v>146</v>
      </c>
      <c r="B125" s="209"/>
      <c r="C125" s="210"/>
      <c r="D125" s="29" t="s">
        <v>68</v>
      </c>
      <c r="E125" s="91">
        <v>185.76149711327889</v>
      </c>
      <c r="F125" s="32">
        <v>3809.66</v>
      </c>
      <c r="G125" s="32">
        <v>3809.66</v>
      </c>
      <c r="H125" s="32"/>
    </row>
    <row r="126" spans="1:8" x14ac:dyDescent="0.25">
      <c r="A126" s="205">
        <v>32</v>
      </c>
      <c r="B126" s="206"/>
      <c r="C126" s="207"/>
      <c r="D126" s="59" t="s">
        <v>23</v>
      </c>
      <c r="E126" s="90">
        <v>6.4861636472227744</v>
      </c>
      <c r="F126" s="58">
        <f>SUM(F128:F129)</f>
        <v>419.71</v>
      </c>
      <c r="G126" s="58">
        <f>SUM(G128:G129)</f>
        <v>419.71</v>
      </c>
      <c r="H126" s="58">
        <f>G126/F126*100</f>
        <v>100</v>
      </c>
    </row>
    <row r="127" spans="1:8" x14ac:dyDescent="0.25">
      <c r="A127" s="196" t="s">
        <v>174</v>
      </c>
      <c r="B127" s="197"/>
      <c r="C127" s="198"/>
      <c r="D127" s="163" t="s">
        <v>69</v>
      </c>
      <c r="E127" s="164">
        <v>608.33499236843852</v>
      </c>
      <c r="F127" s="165">
        <f>SUM(F128:F129)</f>
        <v>419.71</v>
      </c>
      <c r="G127" s="165">
        <f>SUM(G128:G129)</f>
        <v>419.71</v>
      </c>
      <c r="H127" s="165">
        <f t="shared" ref="H127" si="33">G127/F127*100</f>
        <v>100</v>
      </c>
    </row>
    <row r="128" spans="1:8" x14ac:dyDescent="0.25">
      <c r="A128" s="208" t="s">
        <v>147</v>
      </c>
      <c r="B128" s="209"/>
      <c r="C128" s="210"/>
      <c r="D128" s="29" t="s">
        <v>36</v>
      </c>
      <c r="E128" s="91">
        <v>0</v>
      </c>
      <c r="F128" s="32">
        <v>60</v>
      </c>
      <c r="G128" s="32">
        <v>60</v>
      </c>
      <c r="H128" s="32"/>
    </row>
    <row r="129" spans="1:16" x14ac:dyDescent="0.25">
      <c r="A129" s="208" t="s">
        <v>148</v>
      </c>
      <c r="B129" s="209"/>
      <c r="C129" s="210"/>
      <c r="D129" s="29" t="s">
        <v>70</v>
      </c>
      <c r="E129" s="91">
        <v>6.4861636472227744</v>
      </c>
      <c r="F129" s="32">
        <v>359.71</v>
      </c>
      <c r="G129" s="32">
        <v>359.71</v>
      </c>
      <c r="H129" s="32"/>
    </row>
    <row r="130" spans="1:16" ht="15" customHeight="1" x14ac:dyDescent="0.25">
      <c r="A130" s="199" t="s">
        <v>222</v>
      </c>
      <c r="B130" s="200"/>
      <c r="C130" s="201"/>
      <c r="D130" s="38" t="s">
        <v>110</v>
      </c>
      <c r="E130" s="88">
        <v>8145.9074922025347</v>
      </c>
      <c r="F130" s="38">
        <f>F131</f>
        <v>159159.1</v>
      </c>
      <c r="G130" s="38">
        <f>G131</f>
        <v>159159.1</v>
      </c>
      <c r="H130" s="38">
        <f t="shared" ref="H130:H133" si="34">G130/F130*100</f>
        <v>100</v>
      </c>
    </row>
    <row r="131" spans="1:16" x14ac:dyDescent="0.25">
      <c r="A131" s="202">
        <v>3</v>
      </c>
      <c r="B131" s="203"/>
      <c r="C131" s="204"/>
      <c r="D131" s="46" t="s">
        <v>16</v>
      </c>
      <c r="E131" s="89">
        <v>8145.9074922025347</v>
      </c>
      <c r="F131" s="36">
        <f>F132+F139</f>
        <v>159159.1</v>
      </c>
      <c r="G131" s="36">
        <f>G132+G139</f>
        <v>159159.1</v>
      </c>
      <c r="H131" s="36">
        <f t="shared" si="34"/>
        <v>100</v>
      </c>
    </row>
    <row r="132" spans="1:16" x14ac:dyDescent="0.25">
      <c r="A132" s="205">
        <v>31</v>
      </c>
      <c r="B132" s="206"/>
      <c r="C132" s="207"/>
      <c r="D132" s="59" t="s">
        <v>17</v>
      </c>
      <c r="E132" s="90">
        <v>8109.1565465525246</v>
      </c>
      <c r="F132" s="58">
        <f>F133+F137+F135</f>
        <v>156780.71</v>
      </c>
      <c r="G132" s="58">
        <f>G133+G137+G135</f>
        <v>156780.71</v>
      </c>
      <c r="H132" s="58">
        <f t="shared" si="34"/>
        <v>100</v>
      </c>
    </row>
    <row r="133" spans="1:16" x14ac:dyDescent="0.25">
      <c r="A133" s="196" t="s">
        <v>170</v>
      </c>
      <c r="B133" s="197"/>
      <c r="C133" s="198"/>
      <c r="D133" s="163" t="s">
        <v>359</v>
      </c>
      <c r="E133" s="164">
        <v>608.33499236843852</v>
      </c>
      <c r="F133" s="165">
        <f>F134</f>
        <v>130836.4</v>
      </c>
      <c r="G133" s="165">
        <f>G134</f>
        <v>130836.4</v>
      </c>
      <c r="H133" s="165">
        <f t="shared" si="34"/>
        <v>100</v>
      </c>
    </row>
    <row r="134" spans="1:16" x14ac:dyDescent="0.25">
      <c r="A134" s="208" t="s">
        <v>144</v>
      </c>
      <c r="B134" s="209"/>
      <c r="C134" s="210"/>
      <c r="D134" s="29" t="s">
        <v>65</v>
      </c>
      <c r="E134" s="91">
        <v>6379.6310305926072</v>
      </c>
      <c r="F134" s="32">
        <v>130836.4</v>
      </c>
      <c r="G134" s="32">
        <v>130836.4</v>
      </c>
      <c r="H134" s="32"/>
    </row>
    <row r="135" spans="1:16" x14ac:dyDescent="0.25">
      <c r="A135" s="196" t="s">
        <v>171</v>
      </c>
      <c r="B135" s="197"/>
      <c r="C135" s="198"/>
      <c r="D135" s="163" t="s">
        <v>360</v>
      </c>
      <c r="E135" s="164">
        <v>608.33499236843852</v>
      </c>
      <c r="F135" s="165">
        <f>F136</f>
        <v>4356.25</v>
      </c>
      <c r="G135" s="165">
        <f>G136</f>
        <v>4356.25</v>
      </c>
      <c r="H135" s="165">
        <f t="shared" ref="H135" si="35">G135/F135*100</f>
        <v>100</v>
      </c>
    </row>
    <row r="136" spans="1:16" x14ac:dyDescent="0.25">
      <c r="A136" s="208" t="s">
        <v>145</v>
      </c>
      <c r="B136" s="209"/>
      <c r="C136" s="210"/>
      <c r="D136" s="29" t="s">
        <v>66</v>
      </c>
      <c r="E136" s="91">
        <v>676.88632291459282</v>
      </c>
      <c r="F136" s="32">
        <v>4356.25</v>
      </c>
      <c r="G136" s="32">
        <v>4356.25</v>
      </c>
      <c r="H136" s="32"/>
    </row>
    <row r="137" spans="1:16" x14ac:dyDescent="0.25">
      <c r="A137" s="196" t="s">
        <v>172</v>
      </c>
      <c r="B137" s="197"/>
      <c r="C137" s="198"/>
      <c r="D137" s="163" t="s">
        <v>67</v>
      </c>
      <c r="E137" s="164">
        <v>608.33499236843852</v>
      </c>
      <c r="F137" s="165">
        <f>F138</f>
        <v>21588.06</v>
      </c>
      <c r="G137" s="165">
        <f>G138</f>
        <v>21588.06</v>
      </c>
      <c r="H137" s="165">
        <f t="shared" ref="H137" si="36">G137/F137*100</f>
        <v>100</v>
      </c>
    </row>
    <row r="138" spans="1:16" x14ac:dyDescent="0.25">
      <c r="A138" s="208" t="s">
        <v>146</v>
      </c>
      <c r="B138" s="209"/>
      <c r="C138" s="210"/>
      <c r="D138" s="29" t="s">
        <v>68</v>
      </c>
      <c r="E138" s="91">
        <v>1052.6391930453246</v>
      </c>
      <c r="F138" s="32">
        <v>21588.06</v>
      </c>
      <c r="G138" s="32">
        <v>21588.06</v>
      </c>
      <c r="H138" s="32"/>
    </row>
    <row r="139" spans="1:16" x14ac:dyDescent="0.25">
      <c r="A139" s="205">
        <v>32</v>
      </c>
      <c r="B139" s="206"/>
      <c r="C139" s="207"/>
      <c r="D139" s="59" t="s">
        <v>23</v>
      </c>
      <c r="E139" s="90">
        <v>36.750945650009946</v>
      </c>
      <c r="F139" s="58">
        <f>SUM(F141:F142)</f>
        <v>2378.3900000000003</v>
      </c>
      <c r="G139" s="58">
        <f>SUM(G141:G142)</f>
        <v>2378.3900000000003</v>
      </c>
      <c r="H139" s="58">
        <f>G139/F139*100</f>
        <v>100</v>
      </c>
    </row>
    <row r="140" spans="1:16" x14ac:dyDescent="0.25">
      <c r="A140" s="196" t="s">
        <v>174</v>
      </c>
      <c r="B140" s="197"/>
      <c r="C140" s="198"/>
      <c r="D140" s="163" t="s">
        <v>69</v>
      </c>
      <c r="E140" s="164">
        <v>608.33499236843852</v>
      </c>
      <c r="F140" s="165">
        <f>SUM(F141:F142)</f>
        <v>2378.3900000000003</v>
      </c>
      <c r="G140" s="165">
        <f>SUM(G141:G142)</f>
        <v>2378.3900000000003</v>
      </c>
      <c r="H140" s="165">
        <f t="shared" ref="H140" si="37">G140/F140*100</f>
        <v>100</v>
      </c>
    </row>
    <row r="141" spans="1:16" x14ac:dyDescent="0.25">
      <c r="A141" s="208" t="s">
        <v>147</v>
      </c>
      <c r="B141" s="209"/>
      <c r="C141" s="210"/>
      <c r="D141" s="29" t="s">
        <v>36</v>
      </c>
      <c r="E141" s="91">
        <v>0</v>
      </c>
      <c r="F141" s="32">
        <v>340</v>
      </c>
      <c r="G141" s="32">
        <v>340</v>
      </c>
      <c r="H141" s="32"/>
    </row>
    <row r="142" spans="1:16" x14ac:dyDescent="0.25">
      <c r="A142" s="208" t="s">
        <v>148</v>
      </c>
      <c r="B142" s="209"/>
      <c r="C142" s="210"/>
      <c r="D142" s="29" t="s">
        <v>70</v>
      </c>
      <c r="E142" s="91">
        <v>36.750945650009946</v>
      </c>
      <c r="F142" s="32">
        <v>2038.39</v>
      </c>
      <c r="G142" s="32">
        <v>2038.39</v>
      </c>
      <c r="H142" s="32"/>
    </row>
    <row r="143" spans="1:16" x14ac:dyDescent="0.25">
      <c r="A143" s="220" t="s">
        <v>211</v>
      </c>
      <c r="B143" s="221"/>
      <c r="C143" s="222"/>
      <c r="D143" s="27" t="s">
        <v>71</v>
      </c>
      <c r="E143" s="40">
        <v>25051.430088260666</v>
      </c>
      <c r="F143" s="28">
        <f>F144+F151+F157</f>
        <v>405709.19</v>
      </c>
      <c r="G143" s="28">
        <f>G144+G151+G157</f>
        <v>405709.19</v>
      </c>
      <c r="H143" s="28">
        <f t="shared" ref="H143:H148" si="38">G143/F143*100</f>
        <v>100</v>
      </c>
      <c r="K143" s="57"/>
      <c r="L143" s="57"/>
      <c r="M143" s="57"/>
      <c r="N143" s="57"/>
      <c r="O143" s="57"/>
      <c r="P143" s="57"/>
    </row>
    <row r="144" spans="1:16" ht="15" customHeight="1" x14ac:dyDescent="0.25">
      <c r="A144" s="214" t="s">
        <v>212</v>
      </c>
      <c r="B144" s="215"/>
      <c r="C144" s="216"/>
      <c r="D144" s="34" t="s">
        <v>72</v>
      </c>
      <c r="E144" s="87">
        <v>23226.491472559559</v>
      </c>
      <c r="F144" s="37">
        <f t="shared" ref="F144:G146" si="39">F145</f>
        <v>138209.19</v>
      </c>
      <c r="G144" s="37">
        <f t="shared" si="39"/>
        <v>138209.19</v>
      </c>
      <c r="H144" s="37">
        <f t="shared" si="38"/>
        <v>100</v>
      </c>
    </row>
    <row r="145" spans="1:8" ht="15" customHeight="1" x14ac:dyDescent="0.25">
      <c r="A145" s="199" t="s">
        <v>105</v>
      </c>
      <c r="B145" s="200"/>
      <c r="C145" s="201"/>
      <c r="D145" s="38" t="s">
        <v>14</v>
      </c>
      <c r="E145" s="88">
        <v>23226.491472559559</v>
      </c>
      <c r="F145" s="38">
        <f t="shared" si="39"/>
        <v>138209.19</v>
      </c>
      <c r="G145" s="38">
        <f t="shared" si="39"/>
        <v>138209.19</v>
      </c>
      <c r="H145" s="38">
        <f t="shared" si="38"/>
        <v>100</v>
      </c>
    </row>
    <row r="146" spans="1:8" ht="25.5" x14ac:dyDescent="0.25">
      <c r="A146" s="202">
        <v>3</v>
      </c>
      <c r="B146" s="203"/>
      <c r="C146" s="204"/>
      <c r="D146" s="56" t="s">
        <v>18</v>
      </c>
      <c r="E146" s="89">
        <v>23226.491472559559</v>
      </c>
      <c r="F146" s="36">
        <f t="shared" si="39"/>
        <v>138209.19</v>
      </c>
      <c r="G146" s="36">
        <f t="shared" si="39"/>
        <v>138209.19</v>
      </c>
      <c r="H146" s="36">
        <f t="shared" si="38"/>
        <v>100</v>
      </c>
    </row>
    <row r="147" spans="1:8" ht="25.5" x14ac:dyDescent="0.25">
      <c r="A147" s="205">
        <v>42</v>
      </c>
      <c r="B147" s="206"/>
      <c r="C147" s="207"/>
      <c r="D147" s="59" t="s">
        <v>196</v>
      </c>
      <c r="E147" s="90">
        <v>23226.491472559559</v>
      </c>
      <c r="F147" s="58">
        <f>F148</f>
        <v>138209.19</v>
      </c>
      <c r="G147" s="58">
        <f>G148</f>
        <v>138209.19</v>
      </c>
      <c r="H147" s="58">
        <f t="shared" si="38"/>
        <v>100</v>
      </c>
    </row>
    <row r="148" spans="1:8" x14ac:dyDescent="0.25">
      <c r="A148" s="196" t="s">
        <v>204</v>
      </c>
      <c r="B148" s="197"/>
      <c r="C148" s="198"/>
      <c r="D148" s="163" t="s">
        <v>84</v>
      </c>
      <c r="E148" s="164">
        <v>608.33499236843852</v>
      </c>
      <c r="F148" s="165">
        <f>SUM(F149:F150)</f>
        <v>138209.19</v>
      </c>
      <c r="G148" s="165">
        <f>SUM(G149:G150)</f>
        <v>138209.19</v>
      </c>
      <c r="H148" s="165">
        <f t="shared" si="38"/>
        <v>100</v>
      </c>
    </row>
    <row r="149" spans="1:8" x14ac:dyDescent="0.25">
      <c r="A149" s="208" t="s">
        <v>153</v>
      </c>
      <c r="B149" s="209"/>
      <c r="C149" s="210"/>
      <c r="D149" s="26" t="s">
        <v>85</v>
      </c>
      <c r="E149" s="91">
        <v>23226.491472559559</v>
      </c>
      <c r="F149" s="32">
        <v>108209.19</v>
      </c>
      <c r="G149" s="32">
        <v>108209.19</v>
      </c>
      <c r="H149" s="32"/>
    </row>
    <row r="150" spans="1:8" x14ac:dyDescent="0.25">
      <c r="A150" s="208" t="s">
        <v>155</v>
      </c>
      <c r="B150" s="209"/>
      <c r="C150" s="210"/>
      <c r="D150" s="26" t="s">
        <v>234</v>
      </c>
      <c r="E150" s="91">
        <v>23226.491472559559</v>
      </c>
      <c r="F150" s="32">
        <v>30000</v>
      </c>
      <c r="G150" s="32">
        <v>30000</v>
      </c>
      <c r="H150" s="32"/>
    </row>
    <row r="151" spans="1:8" ht="15" customHeight="1" x14ac:dyDescent="0.25">
      <c r="A151" s="214" t="s">
        <v>213</v>
      </c>
      <c r="B151" s="215"/>
      <c r="C151" s="216"/>
      <c r="D151" s="34" t="s">
        <v>217</v>
      </c>
      <c r="E151" s="87">
        <v>1824.9386157011081</v>
      </c>
      <c r="F151" s="37">
        <f t="shared" ref="F151:G153" si="40">F152</f>
        <v>242500</v>
      </c>
      <c r="G151" s="37">
        <f t="shared" si="40"/>
        <v>242500</v>
      </c>
      <c r="H151" s="37">
        <f t="shared" ref="H151:H155" si="41">G151/F151*100</f>
        <v>100</v>
      </c>
    </row>
    <row r="152" spans="1:8" ht="15" customHeight="1" x14ac:dyDescent="0.25">
      <c r="A152" s="199" t="s">
        <v>105</v>
      </c>
      <c r="B152" s="200"/>
      <c r="C152" s="201"/>
      <c r="D152" s="38" t="s">
        <v>14</v>
      </c>
      <c r="E152" s="88">
        <v>1824.9386157011081</v>
      </c>
      <c r="F152" s="38">
        <f t="shared" si="40"/>
        <v>242500</v>
      </c>
      <c r="G152" s="38">
        <f t="shared" si="40"/>
        <v>242500</v>
      </c>
      <c r="H152" s="38">
        <f t="shared" si="41"/>
        <v>100</v>
      </c>
    </row>
    <row r="153" spans="1:8" ht="25.5" x14ac:dyDescent="0.25">
      <c r="A153" s="202">
        <v>4</v>
      </c>
      <c r="B153" s="203"/>
      <c r="C153" s="204"/>
      <c r="D153" s="56" t="s">
        <v>18</v>
      </c>
      <c r="E153" s="89">
        <v>1824.9386157011081</v>
      </c>
      <c r="F153" s="36">
        <f t="shared" si="40"/>
        <v>242500</v>
      </c>
      <c r="G153" s="36">
        <f t="shared" si="40"/>
        <v>242500</v>
      </c>
      <c r="H153" s="36">
        <f t="shared" si="41"/>
        <v>100</v>
      </c>
    </row>
    <row r="154" spans="1:8" ht="25.5" x14ac:dyDescent="0.25">
      <c r="A154" s="205">
        <v>45</v>
      </c>
      <c r="B154" s="206"/>
      <c r="C154" s="207"/>
      <c r="D154" s="59" t="s">
        <v>362</v>
      </c>
      <c r="E154" s="90">
        <v>1824.9386157011081</v>
      </c>
      <c r="F154" s="58">
        <f>F155</f>
        <v>242500</v>
      </c>
      <c r="G154" s="58">
        <f>G155</f>
        <v>242500</v>
      </c>
      <c r="H154" s="58">
        <f t="shared" si="41"/>
        <v>100</v>
      </c>
    </row>
    <row r="155" spans="1:8" x14ac:dyDescent="0.25">
      <c r="A155" s="196" t="s">
        <v>200</v>
      </c>
      <c r="B155" s="197"/>
      <c r="C155" s="198"/>
      <c r="D155" s="163" t="s">
        <v>361</v>
      </c>
      <c r="E155" s="164">
        <v>608.33499236843852</v>
      </c>
      <c r="F155" s="165">
        <f>F156</f>
        <v>242500</v>
      </c>
      <c r="G155" s="165">
        <f>G156</f>
        <v>242500</v>
      </c>
      <c r="H155" s="165">
        <f t="shared" si="41"/>
        <v>100</v>
      </c>
    </row>
    <row r="156" spans="1:8" ht="25.5" x14ac:dyDescent="0.25">
      <c r="A156" s="208" t="s">
        <v>202</v>
      </c>
      <c r="B156" s="209"/>
      <c r="C156" s="210"/>
      <c r="D156" s="26" t="s">
        <v>201</v>
      </c>
      <c r="E156" s="91">
        <v>1824.9386157011081</v>
      </c>
      <c r="F156" s="32">
        <v>242500</v>
      </c>
      <c r="G156" s="32">
        <v>242500</v>
      </c>
      <c r="H156" s="32"/>
    </row>
    <row r="157" spans="1:8" ht="15" customHeight="1" x14ac:dyDescent="0.25">
      <c r="A157" s="214" t="s">
        <v>235</v>
      </c>
      <c r="B157" s="215"/>
      <c r="C157" s="216"/>
      <c r="D157" s="34" t="s">
        <v>236</v>
      </c>
      <c r="E157" s="87">
        <v>1824.9386157011081</v>
      </c>
      <c r="F157" s="37">
        <f t="shared" ref="F157:G159" si="42">F158</f>
        <v>25000</v>
      </c>
      <c r="G157" s="37">
        <f t="shared" si="42"/>
        <v>25000</v>
      </c>
      <c r="H157" s="37">
        <f t="shared" ref="H157:H161" si="43">G157/F157*100</f>
        <v>100</v>
      </c>
    </row>
    <row r="158" spans="1:8" ht="15" customHeight="1" x14ac:dyDescent="0.25">
      <c r="A158" s="199" t="s">
        <v>105</v>
      </c>
      <c r="B158" s="200"/>
      <c r="C158" s="201"/>
      <c r="D158" s="38" t="s">
        <v>14</v>
      </c>
      <c r="E158" s="88">
        <v>23226.491472559559</v>
      </c>
      <c r="F158" s="38">
        <f t="shared" si="42"/>
        <v>25000</v>
      </c>
      <c r="G158" s="38">
        <f t="shared" si="42"/>
        <v>25000</v>
      </c>
      <c r="H158" s="38">
        <f t="shared" si="43"/>
        <v>100</v>
      </c>
    </row>
    <row r="159" spans="1:8" ht="25.5" x14ac:dyDescent="0.25">
      <c r="A159" s="202">
        <v>3</v>
      </c>
      <c r="B159" s="203"/>
      <c r="C159" s="204"/>
      <c r="D159" s="77" t="s">
        <v>18</v>
      </c>
      <c r="E159" s="89">
        <v>23226.491472559559</v>
      </c>
      <c r="F159" s="36">
        <f t="shared" si="42"/>
        <v>25000</v>
      </c>
      <c r="G159" s="36">
        <f t="shared" si="42"/>
        <v>25000</v>
      </c>
      <c r="H159" s="36">
        <f t="shared" si="43"/>
        <v>100</v>
      </c>
    </row>
    <row r="160" spans="1:8" x14ac:dyDescent="0.25">
      <c r="A160" s="205">
        <v>32</v>
      </c>
      <c r="B160" s="206"/>
      <c r="C160" s="207"/>
      <c r="D160" s="59" t="s">
        <v>23</v>
      </c>
      <c r="E160" s="90">
        <v>23226.491472559559</v>
      </c>
      <c r="F160" s="58">
        <f>F161</f>
        <v>25000</v>
      </c>
      <c r="G160" s="58">
        <f>G161</f>
        <v>25000</v>
      </c>
      <c r="H160" s="58">
        <f t="shared" si="43"/>
        <v>100</v>
      </c>
    </row>
    <row r="161" spans="1:16" x14ac:dyDescent="0.25">
      <c r="A161" s="196" t="s">
        <v>177</v>
      </c>
      <c r="B161" s="197"/>
      <c r="C161" s="198"/>
      <c r="D161" s="163" t="s">
        <v>56</v>
      </c>
      <c r="E161" s="164">
        <v>608.33499236843852</v>
      </c>
      <c r="F161" s="165">
        <f>F162</f>
        <v>25000</v>
      </c>
      <c r="G161" s="165">
        <f>G162</f>
        <v>25000</v>
      </c>
      <c r="H161" s="165">
        <f t="shared" si="43"/>
        <v>100</v>
      </c>
    </row>
    <row r="162" spans="1:16" x14ac:dyDescent="0.25">
      <c r="A162" s="208" t="s">
        <v>165</v>
      </c>
      <c r="B162" s="209"/>
      <c r="C162" s="210"/>
      <c r="D162" s="26" t="s">
        <v>76</v>
      </c>
      <c r="E162" s="91">
        <v>23226.491472559559</v>
      </c>
      <c r="F162" s="32">
        <v>25000</v>
      </c>
      <c r="G162" s="32">
        <v>25000</v>
      </c>
      <c r="H162" s="32"/>
    </row>
    <row r="163" spans="1:16" x14ac:dyDescent="0.25">
      <c r="A163" s="208"/>
      <c r="B163" s="209"/>
      <c r="C163" s="210"/>
      <c r="D163" s="26"/>
      <c r="E163" s="91"/>
      <c r="F163" s="32"/>
      <c r="G163" s="32"/>
      <c r="H163" s="32"/>
    </row>
    <row r="164" spans="1:16" ht="24" x14ac:dyDescent="0.25">
      <c r="A164" s="220" t="s">
        <v>214</v>
      </c>
      <c r="B164" s="221"/>
      <c r="C164" s="222"/>
      <c r="D164" s="27" t="s">
        <v>74</v>
      </c>
      <c r="E164" s="40">
        <v>105281.46658703298</v>
      </c>
      <c r="F164" s="28">
        <f t="shared" ref="F164:G167" si="44">F165</f>
        <v>394062.31</v>
      </c>
      <c r="G164" s="28">
        <f t="shared" si="44"/>
        <v>370395.66</v>
      </c>
      <c r="H164" s="28">
        <f t="shared" ref="H164:H169" si="45">G164/F164*100</f>
        <v>93.994185843350508</v>
      </c>
      <c r="K164" s="57"/>
      <c r="L164" s="57"/>
      <c r="M164" s="57"/>
      <c r="N164" s="57"/>
      <c r="O164" s="57"/>
      <c r="P164" s="57"/>
    </row>
    <row r="165" spans="1:16" ht="28.5" customHeight="1" x14ac:dyDescent="0.25">
      <c r="A165" s="214" t="s">
        <v>215</v>
      </c>
      <c r="B165" s="215"/>
      <c r="C165" s="216"/>
      <c r="D165" s="34" t="s">
        <v>216</v>
      </c>
      <c r="E165" s="87">
        <v>105281.46658703298</v>
      </c>
      <c r="F165" s="37">
        <f t="shared" si="44"/>
        <v>394062.31</v>
      </c>
      <c r="G165" s="37">
        <f t="shared" si="44"/>
        <v>370395.66</v>
      </c>
      <c r="H165" s="37">
        <f t="shared" si="45"/>
        <v>93.994185843350508</v>
      </c>
    </row>
    <row r="166" spans="1:16" ht="15" customHeight="1" x14ac:dyDescent="0.25">
      <c r="A166" s="199" t="s">
        <v>105</v>
      </c>
      <c r="B166" s="200"/>
      <c r="C166" s="201"/>
      <c r="D166" s="38" t="s">
        <v>14</v>
      </c>
      <c r="E166" s="88">
        <v>105281.46658703298</v>
      </c>
      <c r="F166" s="38">
        <f t="shared" si="44"/>
        <v>394062.31</v>
      </c>
      <c r="G166" s="38">
        <f t="shared" si="44"/>
        <v>370395.66</v>
      </c>
      <c r="H166" s="38">
        <f t="shared" si="45"/>
        <v>93.994185843350508</v>
      </c>
    </row>
    <row r="167" spans="1:16" x14ac:dyDescent="0.25">
      <c r="A167" s="202">
        <v>3</v>
      </c>
      <c r="B167" s="203"/>
      <c r="C167" s="204"/>
      <c r="D167" s="56" t="s">
        <v>16</v>
      </c>
      <c r="E167" s="89">
        <v>105281.46658703298</v>
      </c>
      <c r="F167" s="36">
        <f t="shared" si="44"/>
        <v>394062.31</v>
      </c>
      <c r="G167" s="36">
        <f t="shared" si="44"/>
        <v>370395.66</v>
      </c>
      <c r="H167" s="36">
        <f t="shared" si="45"/>
        <v>93.994185843350508</v>
      </c>
    </row>
    <row r="168" spans="1:16" ht="25.5" x14ac:dyDescent="0.25">
      <c r="A168" s="205">
        <v>32</v>
      </c>
      <c r="B168" s="206"/>
      <c r="C168" s="207"/>
      <c r="D168" s="59" t="s">
        <v>237</v>
      </c>
      <c r="E168" s="90">
        <v>105281.46658703298</v>
      </c>
      <c r="F168" s="58">
        <f>F169</f>
        <v>394062.31</v>
      </c>
      <c r="G168" s="58">
        <f>G169</f>
        <v>370395.66</v>
      </c>
      <c r="H168" s="58">
        <f t="shared" si="45"/>
        <v>93.994185843350508</v>
      </c>
    </row>
    <row r="169" spans="1:16" x14ac:dyDescent="0.25">
      <c r="A169" s="196" t="s">
        <v>181</v>
      </c>
      <c r="B169" s="197"/>
      <c r="C169" s="198"/>
      <c r="D169" s="163" t="s">
        <v>58</v>
      </c>
      <c r="E169" s="164">
        <v>608.33499236843852</v>
      </c>
      <c r="F169" s="165">
        <f>F170</f>
        <v>394062.31</v>
      </c>
      <c r="G169" s="165">
        <f>G170</f>
        <v>370395.66</v>
      </c>
      <c r="H169" s="165">
        <f t="shared" si="45"/>
        <v>93.994185843350508</v>
      </c>
    </row>
    <row r="170" spans="1:16" ht="25.5" x14ac:dyDescent="0.25">
      <c r="A170" s="208" t="s">
        <v>151</v>
      </c>
      <c r="B170" s="209"/>
      <c r="C170" s="210"/>
      <c r="D170" s="26" t="s">
        <v>193</v>
      </c>
      <c r="E170" s="91">
        <v>105281.46658703298</v>
      </c>
      <c r="F170" s="32">
        <v>394062.31</v>
      </c>
      <c r="G170" s="32">
        <f>394062.31-23666.65</f>
        <v>370395.66</v>
      </c>
      <c r="H170" s="32"/>
    </row>
    <row r="171" spans="1:16" ht="53.25" customHeight="1" x14ac:dyDescent="0.25">
      <c r="A171" s="217" t="s">
        <v>101</v>
      </c>
      <c r="B171" s="218"/>
      <c r="C171" s="219"/>
      <c r="D171" s="39" t="s">
        <v>75</v>
      </c>
      <c r="E171" s="93">
        <v>1112415.4701705489</v>
      </c>
      <c r="F171" s="43">
        <f>F172+F271+F293</f>
        <v>8217086</v>
      </c>
      <c r="G171" s="43">
        <f>G172+G271+G293+G328</f>
        <v>8926175.3899999987</v>
      </c>
      <c r="H171" s="43">
        <f t="shared" ref="H171:H176" si="46">G171/F171*100</f>
        <v>108.62945075663075</v>
      </c>
      <c r="J171" s="44">
        <f>8926175.39-G171</f>
        <v>0</v>
      </c>
    </row>
    <row r="172" spans="1:16" ht="14.25" customHeight="1" x14ac:dyDescent="0.25">
      <c r="A172" s="214" t="s">
        <v>34</v>
      </c>
      <c r="B172" s="215"/>
      <c r="C172" s="216"/>
      <c r="D172" s="34" t="s">
        <v>16</v>
      </c>
      <c r="E172" s="87">
        <v>56171.391598646223</v>
      </c>
      <c r="F172" s="37">
        <f>F173+F184+F218+F231+F267</f>
        <v>398950</v>
      </c>
      <c r="G172" s="37">
        <f>G173+G184+G218+G231+G267</f>
        <v>217101.45</v>
      </c>
      <c r="H172" s="37">
        <f t="shared" si="46"/>
        <v>54.418210302042866</v>
      </c>
    </row>
    <row r="173" spans="1:16" ht="15" customHeight="1" x14ac:dyDescent="0.25">
      <c r="A173" s="199" t="s">
        <v>113</v>
      </c>
      <c r="B173" s="200"/>
      <c r="C173" s="201"/>
      <c r="D173" s="38" t="s">
        <v>24</v>
      </c>
      <c r="E173" s="88">
        <v>345.24520538854603</v>
      </c>
      <c r="F173" s="38">
        <f>F174+F180</f>
        <v>3000</v>
      </c>
      <c r="G173" s="38">
        <f>G174+G180</f>
        <v>0</v>
      </c>
      <c r="H173" s="38">
        <f t="shared" si="46"/>
        <v>0</v>
      </c>
    </row>
    <row r="174" spans="1:16" x14ac:dyDescent="0.25">
      <c r="A174" s="202">
        <v>3</v>
      </c>
      <c r="B174" s="203"/>
      <c r="C174" s="204"/>
      <c r="D174" s="35" t="s">
        <v>16</v>
      </c>
      <c r="E174" s="89">
        <v>55.743579534142938</v>
      </c>
      <c r="F174" s="36">
        <f>F175</f>
        <v>2000</v>
      </c>
      <c r="G174" s="36">
        <f>G175</f>
        <v>0</v>
      </c>
      <c r="H174" s="36">
        <f t="shared" si="46"/>
        <v>0</v>
      </c>
    </row>
    <row r="175" spans="1:16" x14ac:dyDescent="0.25">
      <c r="A175" s="205">
        <v>32</v>
      </c>
      <c r="B175" s="206"/>
      <c r="C175" s="207"/>
      <c r="D175" s="59" t="s">
        <v>23</v>
      </c>
      <c r="E175" s="90">
        <v>55.743579534142938</v>
      </c>
      <c r="F175" s="58">
        <f>F176+F178</f>
        <v>2000</v>
      </c>
      <c r="G175" s="58">
        <f>SUM(G177:G179)</f>
        <v>0</v>
      </c>
      <c r="H175" s="58">
        <f t="shared" si="46"/>
        <v>0</v>
      </c>
    </row>
    <row r="176" spans="1:16" x14ac:dyDescent="0.25">
      <c r="A176" s="196" t="s">
        <v>177</v>
      </c>
      <c r="B176" s="197"/>
      <c r="C176" s="198"/>
      <c r="D176" s="163" t="s">
        <v>56</v>
      </c>
      <c r="E176" s="164">
        <v>608.33499236843852</v>
      </c>
      <c r="F176" s="165">
        <f>F177</f>
        <v>600</v>
      </c>
      <c r="G176" s="165">
        <f>G177</f>
        <v>0</v>
      </c>
      <c r="H176" s="165">
        <f t="shared" si="46"/>
        <v>0</v>
      </c>
    </row>
    <row r="177" spans="1:8" x14ac:dyDescent="0.25">
      <c r="A177" s="208">
        <v>3223</v>
      </c>
      <c r="B177" s="209">
        <v>3223</v>
      </c>
      <c r="C177" s="210">
        <v>3223</v>
      </c>
      <c r="D177" s="26" t="s">
        <v>39</v>
      </c>
      <c r="E177" s="91">
        <v>0</v>
      </c>
      <c r="F177" s="32">
        <v>600</v>
      </c>
      <c r="G177" s="32"/>
      <c r="H177" s="32"/>
    </row>
    <row r="178" spans="1:8" x14ac:dyDescent="0.25">
      <c r="A178" s="196" t="s">
        <v>175</v>
      </c>
      <c r="B178" s="197"/>
      <c r="C178" s="198"/>
      <c r="D178" s="163" t="s">
        <v>63</v>
      </c>
      <c r="E178" s="164">
        <v>608.33499236843852</v>
      </c>
      <c r="F178" s="165">
        <f>SUM(F179)</f>
        <v>1400</v>
      </c>
      <c r="G178" s="165">
        <f>SUM(G179)</f>
        <v>0</v>
      </c>
      <c r="H178" s="165">
        <f t="shared" ref="H178" si="47">G178/F178*100</f>
        <v>0</v>
      </c>
    </row>
    <row r="179" spans="1:8" x14ac:dyDescent="0.25">
      <c r="A179" s="208">
        <v>3299</v>
      </c>
      <c r="B179" s="209">
        <v>3299</v>
      </c>
      <c r="C179" s="210">
        <v>3299</v>
      </c>
      <c r="D179" s="26" t="s">
        <v>53</v>
      </c>
      <c r="E179" s="91">
        <v>55.743579534142938</v>
      </c>
      <c r="F179" s="32">
        <v>1400</v>
      </c>
      <c r="G179" s="32"/>
      <c r="H179" s="32"/>
    </row>
    <row r="180" spans="1:8" ht="25.5" x14ac:dyDescent="0.25">
      <c r="A180" s="202">
        <v>4</v>
      </c>
      <c r="B180" s="203"/>
      <c r="C180" s="204"/>
      <c r="D180" s="56" t="s">
        <v>18</v>
      </c>
      <c r="E180" s="94">
        <v>289.50162585440307</v>
      </c>
      <c r="F180" s="70">
        <f>F181</f>
        <v>1000</v>
      </c>
      <c r="G180" s="70">
        <f>G181</f>
        <v>0</v>
      </c>
      <c r="H180" s="70">
        <f t="shared" ref="H180:H182" si="48">G180/F180*100</f>
        <v>0</v>
      </c>
    </row>
    <row r="181" spans="1:8" ht="25.5" x14ac:dyDescent="0.25">
      <c r="A181" s="205">
        <v>42</v>
      </c>
      <c r="B181" s="206"/>
      <c r="C181" s="207"/>
      <c r="D181" s="59" t="s">
        <v>83</v>
      </c>
      <c r="E181" s="92">
        <v>289.50162585440307</v>
      </c>
      <c r="F181" s="69">
        <f>SUM(F183)</f>
        <v>1000</v>
      </c>
      <c r="G181" s="69">
        <f>SUM(G183)</f>
        <v>0</v>
      </c>
      <c r="H181" s="69">
        <f t="shared" si="48"/>
        <v>0</v>
      </c>
    </row>
    <row r="182" spans="1:8" x14ac:dyDescent="0.25">
      <c r="A182" s="196" t="s">
        <v>204</v>
      </c>
      <c r="B182" s="197"/>
      <c r="C182" s="198"/>
      <c r="D182" s="163" t="s">
        <v>84</v>
      </c>
      <c r="E182" s="164">
        <v>608.33499236843852</v>
      </c>
      <c r="F182" s="165">
        <f>F183</f>
        <v>1000</v>
      </c>
      <c r="G182" s="165">
        <f>G183</f>
        <v>0</v>
      </c>
      <c r="H182" s="165">
        <f t="shared" si="48"/>
        <v>0</v>
      </c>
    </row>
    <row r="183" spans="1:8" x14ac:dyDescent="0.25">
      <c r="A183" s="208" t="s">
        <v>153</v>
      </c>
      <c r="B183" s="209"/>
      <c r="C183" s="210"/>
      <c r="D183" s="29" t="s">
        <v>85</v>
      </c>
      <c r="E183" s="91">
        <v>289.50162585440307</v>
      </c>
      <c r="F183" s="32">
        <v>1000</v>
      </c>
      <c r="G183" s="32"/>
      <c r="H183" s="32"/>
    </row>
    <row r="184" spans="1:8" ht="15" customHeight="1" x14ac:dyDescent="0.25">
      <c r="A184" s="199" t="s">
        <v>238</v>
      </c>
      <c r="B184" s="200"/>
      <c r="C184" s="201"/>
      <c r="D184" s="38" t="s">
        <v>121</v>
      </c>
      <c r="E184" s="88">
        <v>5067.5665273077184</v>
      </c>
      <c r="F184" s="38">
        <f>F185+F210</f>
        <v>36500</v>
      </c>
      <c r="G184" s="38">
        <f>G185+G210</f>
        <v>46874.19</v>
      </c>
      <c r="H184" s="38">
        <f t="shared" ref="H184:H187" si="49">G184/F184*100</f>
        <v>128.42243835616438</v>
      </c>
    </row>
    <row r="185" spans="1:8" x14ac:dyDescent="0.25">
      <c r="A185" s="202">
        <v>3</v>
      </c>
      <c r="B185" s="203"/>
      <c r="C185" s="204"/>
      <c r="D185" s="35" t="s">
        <v>16</v>
      </c>
      <c r="E185" s="89">
        <v>827.53467383369832</v>
      </c>
      <c r="F185" s="36">
        <f>F186+F206</f>
        <v>26200</v>
      </c>
      <c r="G185" s="36">
        <f>G186+G206</f>
        <v>13393.64</v>
      </c>
      <c r="H185" s="36">
        <f t="shared" si="49"/>
        <v>51.120763358778618</v>
      </c>
    </row>
    <row r="186" spans="1:8" x14ac:dyDescent="0.25">
      <c r="A186" s="205">
        <v>32</v>
      </c>
      <c r="B186" s="206"/>
      <c r="C186" s="207"/>
      <c r="D186" s="59" t="s">
        <v>23</v>
      </c>
      <c r="E186" s="90">
        <v>759.0510319198354</v>
      </c>
      <c r="F186" s="58">
        <f>F187+F190+F196+F203</f>
        <v>25200</v>
      </c>
      <c r="G186" s="58">
        <f>G187+G190+G196+G203</f>
        <v>13016.539999999999</v>
      </c>
      <c r="H186" s="58">
        <f t="shared" si="49"/>
        <v>51.652936507936509</v>
      </c>
    </row>
    <row r="187" spans="1:8" x14ac:dyDescent="0.25">
      <c r="A187" s="196" t="s">
        <v>174</v>
      </c>
      <c r="B187" s="197"/>
      <c r="C187" s="198"/>
      <c r="D187" s="163" t="s">
        <v>69</v>
      </c>
      <c r="E187" s="164">
        <v>608.33499236843852</v>
      </c>
      <c r="F187" s="165">
        <f>SUM(F188:F189)</f>
        <v>1000</v>
      </c>
      <c r="G187" s="165">
        <f>SUM(G188:G189)</f>
        <v>1209.1500000000001</v>
      </c>
      <c r="H187" s="165">
        <f t="shared" si="49"/>
        <v>120.91500000000002</v>
      </c>
    </row>
    <row r="188" spans="1:8" x14ac:dyDescent="0.25">
      <c r="A188" s="208">
        <v>3211</v>
      </c>
      <c r="B188" s="209"/>
      <c r="C188" s="210"/>
      <c r="D188" s="26" t="s">
        <v>36</v>
      </c>
      <c r="E188" s="91">
        <v>31.534939279315147</v>
      </c>
      <c r="F188" s="32">
        <v>1000</v>
      </c>
      <c r="G188" s="104">
        <f>1200+9.15</f>
        <v>1209.1500000000001</v>
      </c>
      <c r="H188" s="32"/>
    </row>
    <row r="189" spans="1:8" x14ac:dyDescent="0.25">
      <c r="A189" s="208">
        <v>3213</v>
      </c>
      <c r="B189" s="209">
        <v>3213</v>
      </c>
      <c r="C189" s="210">
        <v>3213</v>
      </c>
      <c r="D189" s="26" t="s">
        <v>37</v>
      </c>
      <c r="E189" s="91">
        <v>15.395845776096621</v>
      </c>
      <c r="F189" s="32">
        <v>0</v>
      </c>
      <c r="G189" s="32"/>
      <c r="H189" s="32"/>
    </row>
    <row r="190" spans="1:8" x14ac:dyDescent="0.25">
      <c r="A190" s="196" t="s">
        <v>177</v>
      </c>
      <c r="B190" s="197"/>
      <c r="C190" s="198"/>
      <c r="D190" s="163" t="s">
        <v>56</v>
      </c>
      <c r="E190" s="164">
        <v>608.33499236843852</v>
      </c>
      <c r="F190" s="165">
        <f>SUM(F191:F195)</f>
        <v>4000</v>
      </c>
      <c r="G190" s="165">
        <f>SUM(G191:G195)</f>
        <v>538.70000000000005</v>
      </c>
      <c r="H190" s="165">
        <f t="shared" ref="H190" si="50">G190/F190*100</f>
        <v>13.467500000000001</v>
      </c>
    </row>
    <row r="191" spans="1:8" x14ac:dyDescent="0.25">
      <c r="A191" s="208">
        <v>3221</v>
      </c>
      <c r="B191" s="209">
        <v>3221</v>
      </c>
      <c r="C191" s="210">
        <v>3221</v>
      </c>
      <c r="D191" s="26" t="s">
        <v>38</v>
      </c>
      <c r="E191" s="91">
        <v>27.255955936027608</v>
      </c>
      <c r="F191" s="32">
        <v>1300</v>
      </c>
      <c r="G191" s="104">
        <f>91.82+16.02</f>
        <v>107.83999999999999</v>
      </c>
      <c r="H191" s="32"/>
    </row>
    <row r="192" spans="1:8" x14ac:dyDescent="0.25">
      <c r="A192" s="208">
        <v>3223</v>
      </c>
      <c r="B192" s="209">
        <v>3223</v>
      </c>
      <c r="C192" s="210">
        <v>3223</v>
      </c>
      <c r="D192" s="26" t="s">
        <v>39</v>
      </c>
      <c r="E192" s="91">
        <v>177.3176720419404</v>
      </c>
      <c r="F192" s="32">
        <v>500</v>
      </c>
      <c r="G192" s="32"/>
      <c r="H192" s="32"/>
    </row>
    <row r="193" spans="1:8" x14ac:dyDescent="0.25">
      <c r="A193" s="208" t="s">
        <v>150</v>
      </c>
      <c r="B193" s="209">
        <v>3223</v>
      </c>
      <c r="C193" s="210">
        <v>3223</v>
      </c>
      <c r="D193" s="29" t="s">
        <v>57</v>
      </c>
      <c r="E193" s="91">
        <v>11.04121043201274</v>
      </c>
      <c r="F193" s="32">
        <v>2000</v>
      </c>
      <c r="G193" s="104">
        <v>430.86</v>
      </c>
      <c r="H193" s="32"/>
    </row>
    <row r="194" spans="1:8" x14ac:dyDescent="0.25">
      <c r="A194" s="208">
        <v>3225</v>
      </c>
      <c r="B194" s="209">
        <v>3225</v>
      </c>
      <c r="C194" s="210">
        <v>3225</v>
      </c>
      <c r="D194" s="26" t="s">
        <v>40</v>
      </c>
      <c r="E194" s="91">
        <v>0</v>
      </c>
      <c r="F194" s="32">
        <v>200</v>
      </c>
      <c r="G194" s="32"/>
      <c r="H194" s="32"/>
    </row>
    <row r="195" spans="1:8" ht="25.5" x14ac:dyDescent="0.25">
      <c r="A195" s="208" t="s">
        <v>179</v>
      </c>
      <c r="B195" s="209">
        <v>3225</v>
      </c>
      <c r="C195" s="210">
        <v>3225</v>
      </c>
      <c r="D195" s="26" t="s">
        <v>180</v>
      </c>
      <c r="E195" s="91">
        <v>0.43798526776826591</v>
      </c>
      <c r="F195" s="32">
        <v>0</v>
      </c>
      <c r="G195" s="32"/>
      <c r="H195" s="32"/>
    </row>
    <row r="196" spans="1:8" x14ac:dyDescent="0.25">
      <c r="A196" s="196" t="s">
        <v>181</v>
      </c>
      <c r="B196" s="197"/>
      <c r="C196" s="198"/>
      <c r="D196" s="163" t="s">
        <v>58</v>
      </c>
      <c r="E196" s="164">
        <v>608.33499236843852</v>
      </c>
      <c r="F196" s="165">
        <f>SUM(F197:F202)</f>
        <v>17700</v>
      </c>
      <c r="G196" s="165">
        <f>SUM(G197:G202)</f>
        <v>1554.3799999999999</v>
      </c>
      <c r="H196" s="165">
        <f t="shared" ref="H196" si="51">G196/F196*100</f>
        <v>8.7818079096045185</v>
      </c>
    </row>
    <row r="197" spans="1:8" x14ac:dyDescent="0.25">
      <c r="A197" s="60">
        <v>3231</v>
      </c>
      <c r="B197" s="61"/>
      <c r="C197" s="62"/>
      <c r="D197" s="26" t="s">
        <v>42</v>
      </c>
      <c r="E197" s="91">
        <v>13.338642245669918</v>
      </c>
      <c r="F197" s="32">
        <v>500</v>
      </c>
      <c r="G197" s="104">
        <f>115.24+800</f>
        <v>915.24</v>
      </c>
      <c r="H197" s="32"/>
    </row>
    <row r="198" spans="1:8" ht="26.25" x14ac:dyDescent="0.25">
      <c r="A198" s="208" t="s">
        <v>151</v>
      </c>
      <c r="B198" s="209">
        <v>3233</v>
      </c>
      <c r="C198" s="210">
        <v>3233</v>
      </c>
      <c r="D198" s="29" t="s">
        <v>77</v>
      </c>
      <c r="E198" s="91">
        <v>44.247129869268029</v>
      </c>
      <c r="F198" s="32">
        <v>15000</v>
      </c>
      <c r="G198" s="104">
        <v>43.34</v>
      </c>
      <c r="H198" s="32"/>
    </row>
    <row r="199" spans="1:8" x14ac:dyDescent="0.25">
      <c r="A199" s="208">
        <v>3233</v>
      </c>
      <c r="B199" s="209">
        <v>3233</v>
      </c>
      <c r="C199" s="210">
        <v>3233</v>
      </c>
      <c r="D199" s="26" t="s">
        <v>43</v>
      </c>
      <c r="E199" s="91">
        <v>0</v>
      </c>
      <c r="F199" s="32">
        <v>0</v>
      </c>
      <c r="G199" s="32"/>
      <c r="H199" s="32"/>
    </row>
    <row r="200" spans="1:8" x14ac:dyDescent="0.25">
      <c r="A200" s="208">
        <v>3235</v>
      </c>
      <c r="B200" s="209">
        <v>3235</v>
      </c>
      <c r="C200" s="210">
        <v>3235</v>
      </c>
      <c r="D200" s="26" t="s">
        <v>45</v>
      </c>
      <c r="E200" s="91">
        <v>0</v>
      </c>
      <c r="F200" s="32">
        <v>200</v>
      </c>
      <c r="G200" s="104">
        <v>300</v>
      </c>
      <c r="H200" s="32"/>
    </row>
    <row r="201" spans="1:8" x14ac:dyDescent="0.25">
      <c r="A201" s="208">
        <v>3237</v>
      </c>
      <c r="B201" s="209">
        <v>3237</v>
      </c>
      <c r="C201" s="210">
        <v>3237</v>
      </c>
      <c r="D201" s="26" t="s">
        <v>47</v>
      </c>
      <c r="E201" s="91">
        <v>86.245935363992302</v>
      </c>
      <c r="F201" s="32">
        <v>500</v>
      </c>
      <c r="G201" s="32"/>
      <c r="H201" s="32"/>
    </row>
    <row r="202" spans="1:8" x14ac:dyDescent="0.25">
      <c r="A202" s="208">
        <v>3239</v>
      </c>
      <c r="B202" s="209">
        <v>3239</v>
      </c>
      <c r="C202" s="210">
        <v>3239</v>
      </c>
      <c r="D202" s="26" t="s">
        <v>49</v>
      </c>
      <c r="E202" s="91">
        <v>8.2686309642312015</v>
      </c>
      <c r="F202" s="32">
        <v>1500</v>
      </c>
      <c r="G202" s="104">
        <f>295.5+0.3</f>
        <v>295.8</v>
      </c>
      <c r="H202" s="32"/>
    </row>
    <row r="203" spans="1:8" x14ac:dyDescent="0.25">
      <c r="A203" s="196" t="s">
        <v>175</v>
      </c>
      <c r="B203" s="197"/>
      <c r="C203" s="198"/>
      <c r="D203" s="163" t="s">
        <v>63</v>
      </c>
      <c r="E203" s="164">
        <v>608.33499236843852</v>
      </c>
      <c r="F203" s="165">
        <f>SUM(F204:F205)</f>
        <v>2500</v>
      </c>
      <c r="G203" s="165">
        <f>SUM(G204:G205)</f>
        <v>9714.31</v>
      </c>
      <c r="H203" s="165">
        <f t="shared" ref="H203" si="52">G203/F203*100</f>
        <v>388.57239999999996</v>
      </c>
    </row>
    <row r="204" spans="1:8" x14ac:dyDescent="0.25">
      <c r="A204" s="208">
        <v>3293</v>
      </c>
      <c r="B204" s="209">
        <v>3293</v>
      </c>
      <c r="C204" s="210">
        <v>3293</v>
      </c>
      <c r="D204" s="26" t="s">
        <v>50</v>
      </c>
      <c r="E204" s="91">
        <v>0</v>
      </c>
      <c r="F204" s="32">
        <v>500</v>
      </c>
      <c r="G204" s="104">
        <v>2245.4299999999998</v>
      </c>
      <c r="H204" s="32"/>
    </row>
    <row r="205" spans="1:8" x14ac:dyDescent="0.25">
      <c r="A205" s="208">
        <v>3299</v>
      </c>
      <c r="B205" s="209">
        <v>3299</v>
      </c>
      <c r="C205" s="210">
        <v>3299</v>
      </c>
      <c r="D205" s="26" t="s">
        <v>53</v>
      </c>
      <c r="E205" s="91">
        <v>343.96708474351311</v>
      </c>
      <c r="F205" s="32">
        <v>2000</v>
      </c>
      <c r="G205" s="104">
        <v>7468.88</v>
      </c>
      <c r="H205" s="32"/>
    </row>
    <row r="206" spans="1:8" x14ac:dyDescent="0.25">
      <c r="A206" s="205">
        <v>34</v>
      </c>
      <c r="B206" s="206"/>
      <c r="C206" s="207"/>
      <c r="D206" s="59" t="s">
        <v>79</v>
      </c>
      <c r="E206" s="90">
        <v>2.1222377065498703</v>
      </c>
      <c r="F206" s="58">
        <f>F207</f>
        <v>1000</v>
      </c>
      <c r="G206" s="58">
        <f>G207</f>
        <v>377.1</v>
      </c>
      <c r="H206" s="58">
        <f>G206/F206*100</f>
        <v>37.710000000000008</v>
      </c>
    </row>
    <row r="207" spans="1:8" x14ac:dyDescent="0.25">
      <c r="A207" s="196" t="s">
        <v>187</v>
      </c>
      <c r="B207" s="197"/>
      <c r="C207" s="198"/>
      <c r="D207" s="163" t="s">
        <v>92</v>
      </c>
      <c r="E207" s="164">
        <v>608.33499236843852</v>
      </c>
      <c r="F207" s="165">
        <f>SUM(F208:F209)</f>
        <v>1000</v>
      </c>
      <c r="G207" s="165">
        <f>SUM(G208:G209)</f>
        <v>377.1</v>
      </c>
      <c r="H207" s="165">
        <f t="shared" ref="H207" si="53">G207/F207*100</f>
        <v>37.710000000000008</v>
      </c>
    </row>
    <row r="208" spans="1:8" ht="26.25" x14ac:dyDescent="0.25">
      <c r="A208" s="208" t="s">
        <v>140</v>
      </c>
      <c r="B208" s="209">
        <v>3293</v>
      </c>
      <c r="C208" s="210">
        <v>3293</v>
      </c>
      <c r="D208" s="29" t="s">
        <v>80</v>
      </c>
      <c r="E208" s="91">
        <v>0</v>
      </c>
      <c r="F208" s="32">
        <v>900</v>
      </c>
      <c r="G208" s="104">
        <v>172.82</v>
      </c>
      <c r="H208" s="32"/>
    </row>
    <row r="209" spans="1:8" x14ac:dyDescent="0.25">
      <c r="A209" s="208" t="s">
        <v>152</v>
      </c>
      <c r="B209" s="209">
        <v>3299</v>
      </c>
      <c r="C209" s="210">
        <v>3299</v>
      </c>
      <c r="D209" s="63" t="s">
        <v>81</v>
      </c>
      <c r="E209" s="91">
        <v>2.1222377065498703</v>
      </c>
      <c r="F209" s="32">
        <v>100</v>
      </c>
      <c r="G209" s="104">
        <v>204.28</v>
      </c>
      <c r="H209" s="32"/>
    </row>
    <row r="210" spans="1:8" ht="25.5" x14ac:dyDescent="0.25">
      <c r="A210" s="202">
        <v>4</v>
      </c>
      <c r="B210" s="203"/>
      <c r="C210" s="204"/>
      <c r="D210" s="35" t="s">
        <v>18</v>
      </c>
      <c r="E210" s="89">
        <v>4240.03185347402</v>
      </c>
      <c r="F210" s="36">
        <f>F211</f>
        <v>10300</v>
      </c>
      <c r="G210" s="36">
        <f>G211</f>
        <v>33480.550000000003</v>
      </c>
      <c r="H210" s="36">
        <f t="shared" ref="H210:H212" si="54">G210/F210*100</f>
        <v>325.05388349514567</v>
      </c>
    </row>
    <row r="211" spans="1:8" ht="25.5" x14ac:dyDescent="0.25">
      <c r="A211" s="205">
        <v>42</v>
      </c>
      <c r="B211" s="206"/>
      <c r="C211" s="207"/>
      <c r="D211" s="59" t="s">
        <v>83</v>
      </c>
      <c r="E211" s="90">
        <v>4240.03185347402</v>
      </c>
      <c r="F211" s="58">
        <f>F212+F216</f>
        <v>10300</v>
      </c>
      <c r="G211" s="58">
        <f>G212+G216</f>
        <v>33480.550000000003</v>
      </c>
      <c r="H211" s="58">
        <f t="shared" si="54"/>
        <v>325.05388349514567</v>
      </c>
    </row>
    <row r="212" spans="1:8" x14ac:dyDescent="0.25">
      <c r="A212" s="196" t="s">
        <v>204</v>
      </c>
      <c r="B212" s="197"/>
      <c r="C212" s="198"/>
      <c r="D212" s="163" t="s">
        <v>84</v>
      </c>
      <c r="E212" s="164">
        <v>608.33499236843852</v>
      </c>
      <c r="F212" s="165">
        <f>SUM(F213:F215)</f>
        <v>10000</v>
      </c>
      <c r="G212" s="165">
        <f>SUM(G213:G215)</f>
        <v>32970.69</v>
      </c>
      <c r="H212" s="165">
        <f t="shared" si="54"/>
        <v>329.70690000000002</v>
      </c>
    </row>
    <row r="213" spans="1:8" x14ac:dyDescent="0.25">
      <c r="A213" s="208" t="s">
        <v>153</v>
      </c>
      <c r="B213" s="209"/>
      <c r="C213" s="210"/>
      <c r="D213" s="29" t="s">
        <v>85</v>
      </c>
      <c r="E213" s="91">
        <v>4011.5336120512311</v>
      </c>
      <c r="F213" s="32">
        <v>10000</v>
      </c>
      <c r="G213" s="104">
        <v>18916.5</v>
      </c>
      <c r="H213" s="32"/>
    </row>
    <row r="214" spans="1:8" x14ac:dyDescent="0.25">
      <c r="A214" s="208" t="s">
        <v>154</v>
      </c>
      <c r="B214" s="209"/>
      <c r="C214" s="210"/>
      <c r="D214" s="29" t="s">
        <v>86</v>
      </c>
      <c r="E214" s="91">
        <v>0</v>
      </c>
      <c r="F214" s="32"/>
      <c r="G214" s="104"/>
      <c r="H214" s="32"/>
    </row>
    <row r="215" spans="1:8" ht="20.25" customHeight="1" x14ac:dyDescent="0.25">
      <c r="A215" s="208" t="s">
        <v>155</v>
      </c>
      <c r="B215" s="209"/>
      <c r="C215" s="210"/>
      <c r="D215" s="29" t="s">
        <v>87</v>
      </c>
      <c r="E215" s="91">
        <v>0</v>
      </c>
      <c r="F215" s="32"/>
      <c r="G215" s="104">
        <v>14054.19</v>
      </c>
      <c r="H215" s="32"/>
    </row>
    <row r="216" spans="1:8" x14ac:dyDescent="0.25">
      <c r="A216" s="196" t="s">
        <v>205</v>
      </c>
      <c r="B216" s="197"/>
      <c r="C216" s="198"/>
      <c r="D216" s="163" t="s">
        <v>206</v>
      </c>
      <c r="E216" s="164">
        <v>608.33499236843852</v>
      </c>
      <c r="F216" s="165">
        <f>F217</f>
        <v>300</v>
      </c>
      <c r="G216" s="165">
        <f>G217</f>
        <v>509.86</v>
      </c>
      <c r="H216" s="165">
        <f t="shared" ref="H216" si="55">G216/F216*100</f>
        <v>169.95333333333335</v>
      </c>
    </row>
    <row r="217" spans="1:8" x14ac:dyDescent="0.25">
      <c r="A217" s="208" t="s">
        <v>156</v>
      </c>
      <c r="B217" s="209"/>
      <c r="C217" s="210"/>
      <c r="D217" s="29" t="s">
        <v>88</v>
      </c>
      <c r="E217" s="91">
        <v>228.49824142278848</v>
      </c>
      <c r="F217" s="32">
        <v>300</v>
      </c>
      <c r="G217" s="104">
        <v>509.86</v>
      </c>
      <c r="H217" s="32"/>
    </row>
    <row r="218" spans="1:8" ht="15" customHeight="1" x14ac:dyDescent="0.25">
      <c r="A218" s="199" t="s">
        <v>122</v>
      </c>
      <c r="B218" s="200"/>
      <c r="C218" s="201"/>
      <c r="D218" s="38" t="s">
        <v>123</v>
      </c>
      <c r="E218" s="88">
        <v>1185.2146791426105</v>
      </c>
      <c r="F218" s="38">
        <f>F219+F227</f>
        <v>38900</v>
      </c>
      <c r="G218" s="38">
        <f>G219+G227</f>
        <v>112366.68000000001</v>
      </c>
      <c r="H218" s="38">
        <f t="shared" ref="H218:H221" si="56">G218/F218*100</f>
        <v>288.86035989717226</v>
      </c>
    </row>
    <row r="219" spans="1:8" x14ac:dyDescent="0.25">
      <c r="A219" s="202">
        <v>3</v>
      </c>
      <c r="B219" s="203"/>
      <c r="C219" s="204"/>
      <c r="D219" s="35" t="s">
        <v>16</v>
      </c>
      <c r="E219" s="89">
        <v>1185.2146791426105</v>
      </c>
      <c r="F219" s="36">
        <f>F220</f>
        <v>38900</v>
      </c>
      <c r="G219" s="36">
        <f>G220</f>
        <v>112259.27</v>
      </c>
      <c r="H219" s="36">
        <f t="shared" si="56"/>
        <v>288.58424164524422</v>
      </c>
    </row>
    <row r="220" spans="1:8" x14ac:dyDescent="0.25">
      <c r="A220" s="205">
        <v>32</v>
      </c>
      <c r="B220" s="206"/>
      <c r="C220" s="207"/>
      <c r="D220" s="59" t="s">
        <v>23</v>
      </c>
      <c r="E220" s="90">
        <v>1185.2146791426105</v>
      </c>
      <c r="F220" s="58">
        <f>F221+F224</f>
        <v>38900</v>
      </c>
      <c r="G220" s="58">
        <f>G221+G224</f>
        <v>112259.27</v>
      </c>
      <c r="H220" s="58">
        <f t="shared" si="56"/>
        <v>288.58424164524422</v>
      </c>
    </row>
    <row r="221" spans="1:8" x14ac:dyDescent="0.25">
      <c r="A221" s="196" t="s">
        <v>181</v>
      </c>
      <c r="B221" s="197"/>
      <c r="C221" s="198"/>
      <c r="D221" s="163" t="s">
        <v>58</v>
      </c>
      <c r="E221" s="164">
        <v>608.33499236843852</v>
      </c>
      <c r="F221" s="165">
        <f>SUM(F222:F223)</f>
        <v>20000</v>
      </c>
      <c r="G221" s="165">
        <f>SUM(G222:G223)</f>
        <v>80585</v>
      </c>
      <c r="H221" s="165">
        <f t="shared" si="56"/>
        <v>402.92500000000001</v>
      </c>
    </row>
    <row r="222" spans="1:8" x14ac:dyDescent="0.25">
      <c r="A222" s="78">
        <v>3231</v>
      </c>
      <c r="B222" s="79"/>
      <c r="C222" s="80"/>
      <c r="D222" s="26" t="s">
        <v>42</v>
      </c>
      <c r="E222" s="91">
        <v>1185.2146791426105</v>
      </c>
      <c r="F222" s="32">
        <v>20000</v>
      </c>
      <c r="G222" s="32">
        <v>80585</v>
      </c>
      <c r="H222" s="32"/>
    </row>
    <row r="223" spans="1:8" ht="26.25" x14ac:dyDescent="0.25">
      <c r="A223" s="208" t="s">
        <v>151</v>
      </c>
      <c r="B223" s="209">
        <v>3233</v>
      </c>
      <c r="C223" s="210">
        <v>3233</v>
      </c>
      <c r="D223" s="29" t="s">
        <v>77</v>
      </c>
      <c r="E223" s="91">
        <v>0</v>
      </c>
      <c r="F223" s="32"/>
      <c r="G223" s="32"/>
      <c r="H223" s="32"/>
    </row>
    <row r="224" spans="1:8" x14ac:dyDescent="0.25">
      <c r="A224" s="196" t="s">
        <v>175</v>
      </c>
      <c r="B224" s="197"/>
      <c r="C224" s="198"/>
      <c r="D224" s="163" t="s">
        <v>63</v>
      </c>
      <c r="E224" s="164">
        <v>608.33499236843852</v>
      </c>
      <c r="F224" s="165">
        <f>SUM(F225:F226)</f>
        <v>18900</v>
      </c>
      <c r="G224" s="165">
        <f>SUM(G225:G226)</f>
        <v>31674.27</v>
      </c>
      <c r="H224" s="165">
        <f t="shared" ref="H224" si="57">G224/F224*100</f>
        <v>167.58873015873016</v>
      </c>
    </row>
    <row r="225" spans="1:11" x14ac:dyDescent="0.25">
      <c r="A225" s="208" t="s">
        <v>157</v>
      </c>
      <c r="B225" s="209">
        <v>3295</v>
      </c>
      <c r="C225" s="210">
        <v>3295</v>
      </c>
      <c r="D225" s="29" t="s">
        <v>78</v>
      </c>
      <c r="E225" s="91">
        <v>0</v>
      </c>
      <c r="F225" s="32">
        <v>13900</v>
      </c>
      <c r="G225" s="32">
        <v>13650</v>
      </c>
      <c r="H225" s="32"/>
    </row>
    <row r="226" spans="1:11" x14ac:dyDescent="0.25">
      <c r="A226" s="208">
        <v>3299</v>
      </c>
      <c r="B226" s="209">
        <v>3299</v>
      </c>
      <c r="C226" s="210">
        <v>3299</v>
      </c>
      <c r="D226" s="26" t="s">
        <v>53</v>
      </c>
      <c r="E226" s="91">
        <v>0</v>
      </c>
      <c r="F226" s="32">
        <v>5000</v>
      </c>
      <c r="G226" s="32">
        <f>8589.27+9435</f>
        <v>18024.27</v>
      </c>
      <c r="H226" s="32"/>
    </row>
    <row r="227" spans="1:11" ht="25.5" x14ac:dyDescent="0.25">
      <c r="A227" s="202">
        <v>4</v>
      </c>
      <c r="B227" s="203"/>
      <c r="C227" s="204"/>
      <c r="D227" s="77" t="s">
        <v>18</v>
      </c>
      <c r="E227" s="89">
        <v>12182.000132722806</v>
      </c>
      <c r="F227" s="36">
        <f>F228</f>
        <v>0</v>
      </c>
      <c r="G227" s="36">
        <f>G228</f>
        <v>107.41</v>
      </c>
      <c r="H227" s="36">
        <v>0</v>
      </c>
    </row>
    <row r="228" spans="1:11" ht="25.5" x14ac:dyDescent="0.25">
      <c r="A228" s="205">
        <v>42</v>
      </c>
      <c r="B228" s="206"/>
      <c r="C228" s="207"/>
      <c r="D228" s="59" t="s">
        <v>83</v>
      </c>
      <c r="E228" s="90">
        <v>12182.000132722806</v>
      </c>
      <c r="F228" s="58">
        <f>SUM(F230:F230)</f>
        <v>0</v>
      </c>
      <c r="G228" s="58">
        <f>SUM(G230:G230)</f>
        <v>107.41</v>
      </c>
      <c r="H228" s="58">
        <v>0</v>
      </c>
    </row>
    <row r="229" spans="1:11" x14ac:dyDescent="0.25">
      <c r="A229" s="196" t="s">
        <v>205</v>
      </c>
      <c r="B229" s="197"/>
      <c r="C229" s="198"/>
      <c r="D229" s="163" t="s">
        <v>206</v>
      </c>
      <c r="E229" s="164">
        <v>608.33499236843852</v>
      </c>
      <c r="F229" s="165">
        <f>F230</f>
        <v>0</v>
      </c>
      <c r="G229" s="165">
        <f>G230</f>
        <v>107.41</v>
      </c>
      <c r="H229" s="165">
        <v>0</v>
      </c>
    </row>
    <row r="230" spans="1:11" x14ac:dyDescent="0.25">
      <c r="A230" s="208" t="s">
        <v>156</v>
      </c>
      <c r="B230" s="209"/>
      <c r="C230" s="210"/>
      <c r="D230" s="29" t="s">
        <v>239</v>
      </c>
      <c r="E230" s="91">
        <v>6015.3998274603482</v>
      </c>
      <c r="F230" s="32">
        <v>0</v>
      </c>
      <c r="G230" s="32">
        <v>107.41</v>
      </c>
      <c r="H230" s="32"/>
    </row>
    <row r="231" spans="1:11" ht="15" customHeight="1" x14ac:dyDescent="0.25">
      <c r="A231" s="199" t="s">
        <v>124</v>
      </c>
      <c r="B231" s="200"/>
      <c r="C231" s="201"/>
      <c r="D231" s="38" t="s">
        <v>125</v>
      </c>
      <c r="E231" s="88">
        <v>49573.36518680735</v>
      </c>
      <c r="F231" s="38">
        <f>F232+F260</f>
        <v>320050</v>
      </c>
      <c r="G231" s="38">
        <f>G232+G260</f>
        <v>53860.580000000009</v>
      </c>
      <c r="H231" s="38">
        <f t="shared" ref="H231:H234" si="58">G231/F231*100</f>
        <v>16.828801749726608</v>
      </c>
    </row>
    <row r="232" spans="1:11" x14ac:dyDescent="0.25">
      <c r="A232" s="202">
        <v>3</v>
      </c>
      <c r="B232" s="203"/>
      <c r="C232" s="204"/>
      <c r="D232" s="35" t="s">
        <v>16</v>
      </c>
      <c r="E232" s="89">
        <v>37391.365054084541</v>
      </c>
      <c r="F232" s="36">
        <f>F233</f>
        <v>247550</v>
      </c>
      <c r="G232" s="36">
        <f>G233+G257</f>
        <v>35450.460000000006</v>
      </c>
      <c r="H232" s="36">
        <f t="shared" si="58"/>
        <v>14.320525146435067</v>
      </c>
    </row>
    <row r="233" spans="1:11" x14ac:dyDescent="0.25">
      <c r="A233" s="205">
        <v>32</v>
      </c>
      <c r="B233" s="206"/>
      <c r="C233" s="207"/>
      <c r="D233" s="59" t="s">
        <v>23</v>
      </c>
      <c r="E233" s="90">
        <v>30887.28648218196</v>
      </c>
      <c r="F233" s="58">
        <f>F234+F237+F242+F252</f>
        <v>247550</v>
      </c>
      <c r="G233" s="58">
        <f>G234+G237+G242+G252</f>
        <v>35450.460000000006</v>
      </c>
      <c r="H233" s="58">
        <f t="shared" si="58"/>
        <v>14.320525146435067</v>
      </c>
    </row>
    <row r="234" spans="1:11" x14ac:dyDescent="0.25">
      <c r="A234" s="196" t="s">
        <v>174</v>
      </c>
      <c r="B234" s="197"/>
      <c r="C234" s="198"/>
      <c r="D234" s="163" t="s">
        <v>69</v>
      </c>
      <c r="E234" s="164">
        <v>608.33499236843852</v>
      </c>
      <c r="F234" s="165">
        <f>SUM(F235:F236)</f>
        <v>3500</v>
      </c>
      <c r="G234" s="165">
        <f>SUM(G235:G236)</f>
        <v>4565.2800000000007</v>
      </c>
      <c r="H234" s="165">
        <f t="shared" si="58"/>
        <v>130.43657142857145</v>
      </c>
    </row>
    <row r="235" spans="1:11" x14ac:dyDescent="0.25">
      <c r="A235" s="208">
        <v>3211</v>
      </c>
      <c r="B235" s="209"/>
      <c r="C235" s="210"/>
      <c r="D235" s="26" t="s">
        <v>36</v>
      </c>
      <c r="E235" s="91">
        <v>0</v>
      </c>
      <c r="F235" s="32">
        <v>1500</v>
      </c>
      <c r="G235" s="104">
        <f>2580.28+1536</f>
        <v>4116.2800000000007</v>
      </c>
      <c r="H235" s="32"/>
      <c r="J235" s="102"/>
    </row>
    <row r="236" spans="1:11" x14ac:dyDescent="0.25">
      <c r="A236" s="208">
        <v>3213</v>
      </c>
      <c r="B236" s="209">
        <v>3213</v>
      </c>
      <c r="C236" s="210">
        <v>3213</v>
      </c>
      <c r="D236" s="26" t="s">
        <v>37</v>
      </c>
      <c r="E236" s="91">
        <v>268.76368703961776</v>
      </c>
      <c r="F236" s="32">
        <v>2000</v>
      </c>
      <c r="G236" s="32">
        <v>449</v>
      </c>
      <c r="H236" s="32"/>
    </row>
    <row r="237" spans="1:11" x14ac:dyDescent="0.25">
      <c r="A237" s="196" t="s">
        <v>177</v>
      </c>
      <c r="B237" s="197"/>
      <c r="C237" s="198"/>
      <c r="D237" s="163" t="s">
        <v>56</v>
      </c>
      <c r="E237" s="164">
        <v>608.33499236843852</v>
      </c>
      <c r="F237" s="165">
        <f>SUM(F238:F241)</f>
        <v>224000</v>
      </c>
      <c r="G237" s="165">
        <f>SUM(G238:G241)</f>
        <v>5693.96</v>
      </c>
      <c r="H237" s="165">
        <f t="shared" ref="H237" si="59">G237/F237*100</f>
        <v>2.5419464285714284</v>
      </c>
    </row>
    <row r="238" spans="1:11" x14ac:dyDescent="0.25">
      <c r="A238" s="208">
        <v>3221</v>
      </c>
      <c r="B238" s="209">
        <v>3221</v>
      </c>
      <c r="C238" s="210">
        <v>3221</v>
      </c>
      <c r="D238" s="26" t="s">
        <v>38</v>
      </c>
      <c r="E238" s="91">
        <v>26514.481385626117</v>
      </c>
      <c r="F238" s="32">
        <v>223500</v>
      </c>
      <c r="G238" s="104">
        <v>1199</v>
      </c>
      <c r="H238" s="32"/>
      <c r="J238" s="100"/>
    </row>
    <row r="239" spans="1:11" x14ac:dyDescent="0.25">
      <c r="A239" s="208">
        <v>3223</v>
      </c>
      <c r="B239" s="209">
        <v>3223</v>
      </c>
      <c r="C239" s="210">
        <v>3223</v>
      </c>
      <c r="D239" s="26" t="s">
        <v>39</v>
      </c>
      <c r="E239" s="91">
        <v>0</v>
      </c>
      <c r="F239" s="32"/>
      <c r="G239" s="32"/>
      <c r="H239" s="32"/>
    </row>
    <row r="240" spans="1:11" x14ac:dyDescent="0.25">
      <c r="A240" s="208">
        <v>3225</v>
      </c>
      <c r="B240" s="209">
        <v>3225</v>
      </c>
      <c r="C240" s="210">
        <v>3225</v>
      </c>
      <c r="D240" s="26" t="s">
        <v>40</v>
      </c>
      <c r="E240" s="91">
        <v>56.407193576216066</v>
      </c>
      <c r="F240" s="32">
        <v>500</v>
      </c>
      <c r="G240" s="104">
        <f>2023+2471.96</f>
        <v>4494.96</v>
      </c>
      <c r="H240" s="32"/>
      <c r="J240" s="102"/>
      <c r="K240" s="102"/>
    </row>
    <row r="241" spans="1:11" x14ac:dyDescent="0.25">
      <c r="A241" s="208">
        <v>3227</v>
      </c>
      <c r="B241" s="209">
        <v>3227</v>
      </c>
      <c r="C241" s="210">
        <v>3227</v>
      </c>
      <c r="D241" s="26" t="s">
        <v>41</v>
      </c>
      <c r="E241" s="91">
        <v>199.08421262193906</v>
      </c>
      <c r="F241" s="32"/>
      <c r="G241" s="32"/>
      <c r="H241" s="32"/>
    </row>
    <row r="242" spans="1:11" x14ac:dyDescent="0.25">
      <c r="A242" s="196" t="s">
        <v>181</v>
      </c>
      <c r="B242" s="197"/>
      <c r="C242" s="198"/>
      <c r="D242" s="163" t="s">
        <v>58</v>
      </c>
      <c r="E242" s="164">
        <v>608.33499236843852</v>
      </c>
      <c r="F242" s="165">
        <f>SUM(F243:F251)</f>
        <v>17050</v>
      </c>
      <c r="G242" s="165">
        <f>SUM(G243:G251)</f>
        <v>24222</v>
      </c>
      <c r="H242" s="165">
        <f t="shared" ref="H242" si="60">G242/F242*100</f>
        <v>142.06451612903226</v>
      </c>
    </row>
    <row r="243" spans="1:11" x14ac:dyDescent="0.25">
      <c r="A243" s="208">
        <v>3231</v>
      </c>
      <c r="B243" s="209">
        <v>3231</v>
      </c>
      <c r="C243" s="210">
        <v>3231</v>
      </c>
      <c r="D243" s="26" t="s">
        <v>42</v>
      </c>
      <c r="E243" s="91">
        <v>1015.3294843718893</v>
      </c>
      <c r="F243" s="32">
        <v>10000</v>
      </c>
      <c r="G243" s="104">
        <v>7492.5</v>
      </c>
      <c r="H243" s="32"/>
      <c r="J243" s="102"/>
      <c r="K243" s="102"/>
    </row>
    <row r="244" spans="1:11" x14ac:dyDescent="0.25">
      <c r="A244" s="208" t="s">
        <v>151</v>
      </c>
      <c r="B244" s="209">
        <v>3231</v>
      </c>
      <c r="C244" s="210">
        <v>3231</v>
      </c>
      <c r="D244" s="26" t="s">
        <v>59</v>
      </c>
      <c r="E244" s="91">
        <v>1015.3294843718893</v>
      </c>
      <c r="F244" s="32"/>
      <c r="G244" s="104">
        <v>16729.5</v>
      </c>
      <c r="H244" s="32"/>
      <c r="J244" s="102"/>
    </row>
    <row r="245" spans="1:11" x14ac:dyDescent="0.25">
      <c r="A245" s="64">
        <v>3233</v>
      </c>
      <c r="B245" s="75"/>
      <c r="C245" s="76"/>
      <c r="D245" s="26" t="s">
        <v>43</v>
      </c>
      <c r="E245" s="91">
        <v>0</v>
      </c>
      <c r="F245" s="32"/>
      <c r="G245" s="32"/>
      <c r="H245" s="32"/>
    </row>
    <row r="246" spans="1:11" x14ac:dyDescent="0.25">
      <c r="A246" s="208">
        <v>3234</v>
      </c>
      <c r="B246" s="209">
        <v>3234</v>
      </c>
      <c r="C246" s="210">
        <v>3234</v>
      </c>
      <c r="D246" s="26" t="s">
        <v>44</v>
      </c>
      <c r="E246" s="91">
        <v>0</v>
      </c>
      <c r="F246" s="32"/>
      <c r="G246" s="32"/>
      <c r="H246" s="32"/>
    </row>
    <row r="247" spans="1:11" x14ac:dyDescent="0.25">
      <c r="A247" s="208">
        <v>3235</v>
      </c>
      <c r="B247" s="209">
        <v>3235</v>
      </c>
      <c r="C247" s="210">
        <v>3235</v>
      </c>
      <c r="D247" s="26" t="s">
        <v>45</v>
      </c>
      <c r="E247" s="91">
        <v>66.500763156148381</v>
      </c>
      <c r="F247" s="32"/>
      <c r="G247" s="32"/>
      <c r="H247" s="32"/>
    </row>
    <row r="248" spans="1:11" x14ac:dyDescent="0.25">
      <c r="A248" s="208">
        <v>3236</v>
      </c>
      <c r="B248" s="209">
        <v>3236</v>
      </c>
      <c r="C248" s="210">
        <v>3236</v>
      </c>
      <c r="D248" s="26" t="s">
        <v>46</v>
      </c>
      <c r="E248" s="91">
        <v>0</v>
      </c>
      <c r="F248" s="32"/>
      <c r="G248" s="32"/>
      <c r="H248" s="32"/>
    </row>
    <row r="249" spans="1:11" x14ac:dyDescent="0.25">
      <c r="A249" s="208">
        <v>3237</v>
      </c>
      <c r="B249" s="209">
        <v>3237</v>
      </c>
      <c r="C249" s="210">
        <v>3237</v>
      </c>
      <c r="D249" s="26" t="s">
        <v>47</v>
      </c>
      <c r="E249" s="91">
        <v>0</v>
      </c>
      <c r="F249" s="32"/>
      <c r="G249" s="32"/>
      <c r="H249" s="32"/>
    </row>
    <row r="250" spans="1:11" x14ac:dyDescent="0.25">
      <c r="A250" s="208">
        <v>3238</v>
      </c>
      <c r="B250" s="209">
        <v>3238</v>
      </c>
      <c r="C250" s="210">
        <v>3238</v>
      </c>
      <c r="D250" s="26" t="s">
        <v>48</v>
      </c>
      <c r="E250" s="91">
        <v>0</v>
      </c>
      <c r="F250" s="32"/>
      <c r="G250" s="32"/>
      <c r="H250" s="32"/>
    </row>
    <row r="251" spans="1:11" x14ac:dyDescent="0.25">
      <c r="A251" s="208">
        <v>3239</v>
      </c>
      <c r="B251" s="209">
        <v>3239</v>
      </c>
      <c r="C251" s="210">
        <v>3239</v>
      </c>
      <c r="D251" s="26" t="s">
        <v>49</v>
      </c>
      <c r="E251" s="91">
        <v>2369.1021302010749</v>
      </c>
      <c r="F251" s="32">
        <v>7050</v>
      </c>
      <c r="G251" s="103">
        <v>0</v>
      </c>
      <c r="H251" s="32"/>
      <c r="J251" s="99"/>
    </row>
    <row r="252" spans="1:11" x14ac:dyDescent="0.25">
      <c r="A252" s="196" t="s">
        <v>175</v>
      </c>
      <c r="B252" s="197"/>
      <c r="C252" s="198"/>
      <c r="D252" s="163" t="s">
        <v>63</v>
      </c>
      <c r="E252" s="164">
        <v>608.33499236843852</v>
      </c>
      <c r="F252" s="165">
        <f>SUM(F253:F256)</f>
        <v>3000</v>
      </c>
      <c r="G252" s="165">
        <f>SUM(G253:G256)</f>
        <v>969.22</v>
      </c>
      <c r="H252" s="165">
        <f t="shared" ref="H252" si="61">G252/F252*100</f>
        <v>32.307333333333332</v>
      </c>
    </row>
    <row r="253" spans="1:11" x14ac:dyDescent="0.25">
      <c r="A253" s="208">
        <v>3293</v>
      </c>
      <c r="B253" s="209">
        <v>3293</v>
      </c>
      <c r="C253" s="210">
        <v>3293</v>
      </c>
      <c r="D253" s="26" t="s">
        <v>50</v>
      </c>
      <c r="E253" s="91">
        <v>0</v>
      </c>
      <c r="F253" s="32">
        <v>500</v>
      </c>
      <c r="G253" s="32">
        <v>292.5</v>
      </c>
      <c r="H253" s="32"/>
    </row>
    <row r="254" spans="1:11" x14ac:dyDescent="0.25">
      <c r="A254" s="208">
        <v>3294</v>
      </c>
      <c r="B254" s="209">
        <v>3294</v>
      </c>
      <c r="C254" s="210">
        <v>3294</v>
      </c>
      <c r="D254" s="26" t="s">
        <v>51</v>
      </c>
      <c r="E254" s="91">
        <v>0</v>
      </c>
      <c r="F254" s="32"/>
      <c r="G254" s="32"/>
      <c r="H254" s="32"/>
    </row>
    <row r="255" spans="1:11" x14ac:dyDescent="0.25">
      <c r="A255" s="208">
        <v>3295</v>
      </c>
      <c r="B255" s="209">
        <v>3295</v>
      </c>
      <c r="C255" s="210">
        <v>3295</v>
      </c>
      <c r="D255" s="26" t="s">
        <v>52</v>
      </c>
      <c r="E255" s="91">
        <v>0</v>
      </c>
      <c r="F255" s="32"/>
      <c r="G255" s="32"/>
      <c r="H255" s="32"/>
    </row>
    <row r="256" spans="1:11" x14ac:dyDescent="0.25">
      <c r="A256" s="208">
        <v>3299</v>
      </c>
      <c r="B256" s="209">
        <v>3299</v>
      </c>
      <c r="C256" s="210">
        <v>3299</v>
      </c>
      <c r="D256" s="26" t="s">
        <v>53</v>
      </c>
      <c r="E256" s="91">
        <v>397.61762558895742</v>
      </c>
      <c r="F256" s="32">
        <v>2500</v>
      </c>
      <c r="G256" s="104">
        <f>676.72</f>
        <v>676.72</v>
      </c>
      <c r="H256" s="32"/>
      <c r="J256" s="102">
        <v>676.72</v>
      </c>
    </row>
    <row r="257" spans="1:10" x14ac:dyDescent="0.25">
      <c r="A257" s="205">
        <v>34</v>
      </c>
      <c r="B257" s="206"/>
      <c r="C257" s="207"/>
      <c r="D257" s="59" t="s">
        <v>79</v>
      </c>
      <c r="E257" s="90">
        <v>6504.0785719025816</v>
      </c>
      <c r="F257" s="58">
        <f>F259</f>
        <v>0</v>
      </c>
      <c r="G257" s="58">
        <f>G259</f>
        <v>0</v>
      </c>
      <c r="H257" s="58">
        <v>0</v>
      </c>
    </row>
    <row r="258" spans="1:10" x14ac:dyDescent="0.25">
      <c r="A258" s="196" t="s">
        <v>187</v>
      </c>
      <c r="B258" s="197"/>
      <c r="C258" s="198"/>
      <c r="D258" s="163" t="s">
        <v>92</v>
      </c>
      <c r="E258" s="164">
        <v>608.33499236843852</v>
      </c>
      <c r="F258" s="165">
        <f>F259</f>
        <v>0</v>
      </c>
      <c r="G258" s="165">
        <f>G259</f>
        <v>0</v>
      </c>
      <c r="H258" s="165" t="e">
        <f t="shared" ref="H258" si="62">G258/F258*100</f>
        <v>#DIV/0!</v>
      </c>
    </row>
    <row r="259" spans="1:10" x14ac:dyDescent="0.25">
      <c r="A259" s="208" t="s">
        <v>152</v>
      </c>
      <c r="B259" s="209">
        <v>3299</v>
      </c>
      <c r="C259" s="210">
        <v>3299</v>
      </c>
      <c r="D259" s="63" t="s">
        <v>81</v>
      </c>
      <c r="E259" s="91">
        <v>6504.0785719025816</v>
      </c>
      <c r="F259" s="32">
        <v>0</v>
      </c>
      <c r="G259" s="32">
        <v>0</v>
      </c>
      <c r="H259" s="32"/>
    </row>
    <row r="260" spans="1:10" ht="25.5" x14ac:dyDescent="0.25">
      <c r="A260" s="202">
        <v>4</v>
      </c>
      <c r="B260" s="203"/>
      <c r="C260" s="204"/>
      <c r="D260" s="35" t="s">
        <v>18</v>
      </c>
      <c r="E260" s="89">
        <v>12182.000132722806</v>
      </c>
      <c r="F260" s="36">
        <f>F261</f>
        <v>72500</v>
      </c>
      <c r="G260" s="36">
        <f>G261</f>
        <v>18410.120000000003</v>
      </c>
      <c r="H260" s="36">
        <f t="shared" ref="H260:H262" si="63">G260/F260*100</f>
        <v>25.393268965517247</v>
      </c>
    </row>
    <row r="261" spans="1:10" ht="25.5" x14ac:dyDescent="0.25">
      <c r="A261" s="205">
        <v>42</v>
      </c>
      <c r="B261" s="206"/>
      <c r="C261" s="207"/>
      <c r="D261" s="59" t="s">
        <v>83</v>
      </c>
      <c r="E261" s="90">
        <v>12182.000132722806</v>
      </c>
      <c r="F261" s="58">
        <f>F262+F265</f>
        <v>72500</v>
      </c>
      <c r="G261" s="58">
        <f>G262+G265</f>
        <v>18410.120000000003</v>
      </c>
      <c r="H261" s="58">
        <f t="shared" si="63"/>
        <v>25.393268965517247</v>
      </c>
    </row>
    <row r="262" spans="1:10" x14ac:dyDescent="0.25">
      <c r="A262" s="196" t="s">
        <v>204</v>
      </c>
      <c r="B262" s="197"/>
      <c r="C262" s="198"/>
      <c r="D262" s="163" t="s">
        <v>84</v>
      </c>
      <c r="E262" s="164">
        <v>608.33499236843852</v>
      </c>
      <c r="F262" s="165">
        <f>SUM(F263:F264)</f>
        <v>2000</v>
      </c>
      <c r="G262" s="165">
        <f>SUM(G263:G264)</f>
        <v>11714.1</v>
      </c>
      <c r="H262" s="165">
        <f t="shared" si="63"/>
        <v>585.70500000000004</v>
      </c>
    </row>
    <row r="263" spans="1:10" x14ac:dyDescent="0.25">
      <c r="A263" s="208" t="s">
        <v>153</v>
      </c>
      <c r="B263" s="209"/>
      <c r="C263" s="210"/>
      <c r="D263" s="29" t="s">
        <v>85</v>
      </c>
      <c r="E263" s="91">
        <v>573.86024288273939</v>
      </c>
      <c r="F263" s="32">
        <v>2000</v>
      </c>
      <c r="G263" s="104">
        <v>10196</v>
      </c>
      <c r="H263" s="32"/>
    </row>
    <row r="264" spans="1:10" ht="26.25" x14ac:dyDescent="0.25">
      <c r="A264" s="208" t="s">
        <v>155</v>
      </c>
      <c r="B264" s="209"/>
      <c r="C264" s="210"/>
      <c r="D264" s="29" t="s">
        <v>94</v>
      </c>
      <c r="E264" s="91">
        <v>5592.7400623797193</v>
      </c>
      <c r="F264" s="32">
        <v>0</v>
      </c>
      <c r="G264" s="104">
        <v>1518.1</v>
      </c>
      <c r="H264" s="32"/>
      <c r="J264" s="102">
        <v>1518.1</v>
      </c>
    </row>
    <row r="265" spans="1:10" x14ac:dyDescent="0.25">
      <c r="A265" s="196" t="s">
        <v>205</v>
      </c>
      <c r="B265" s="197"/>
      <c r="C265" s="198"/>
      <c r="D265" s="163" t="s">
        <v>206</v>
      </c>
      <c r="E265" s="164">
        <v>608.33499236843852</v>
      </c>
      <c r="F265" s="165">
        <f>F266</f>
        <v>70500</v>
      </c>
      <c r="G265" s="165">
        <f>G266</f>
        <v>6696.02</v>
      </c>
      <c r="H265" s="165">
        <f t="shared" ref="H265" si="64">G265/F265*100</f>
        <v>9.4979007092198593</v>
      </c>
    </row>
    <row r="266" spans="1:10" x14ac:dyDescent="0.25">
      <c r="A266" s="208" t="s">
        <v>156</v>
      </c>
      <c r="B266" s="209"/>
      <c r="C266" s="210"/>
      <c r="D266" s="29" t="s">
        <v>239</v>
      </c>
      <c r="E266" s="91">
        <v>6015.3998274603482</v>
      </c>
      <c r="F266" s="32">
        <v>70500</v>
      </c>
      <c r="G266" s="104">
        <f>1696.02+5000</f>
        <v>6696.02</v>
      </c>
      <c r="H266" s="32"/>
      <c r="J266" s="102">
        <v>6696.02</v>
      </c>
    </row>
    <row r="267" spans="1:10" ht="15" customHeight="1" x14ac:dyDescent="0.25">
      <c r="A267" s="199" t="s">
        <v>218</v>
      </c>
      <c r="B267" s="200"/>
      <c r="C267" s="201"/>
      <c r="D267" s="38" t="s">
        <v>126</v>
      </c>
      <c r="E267" s="88">
        <v>0</v>
      </c>
      <c r="F267" s="38">
        <f t="shared" ref="F267:G269" si="65">F268</f>
        <v>500</v>
      </c>
      <c r="G267" s="38">
        <f t="shared" si="65"/>
        <v>4000</v>
      </c>
      <c r="H267" s="38">
        <f t="shared" ref="H267:H270" si="66">G267/F267*100</f>
        <v>800</v>
      </c>
    </row>
    <row r="268" spans="1:10" x14ac:dyDescent="0.25">
      <c r="A268" s="202">
        <v>3</v>
      </c>
      <c r="B268" s="203"/>
      <c r="C268" s="204"/>
      <c r="D268" s="35" t="s">
        <v>16</v>
      </c>
      <c r="E268" s="89">
        <v>0</v>
      </c>
      <c r="F268" s="36">
        <f t="shared" si="65"/>
        <v>500</v>
      </c>
      <c r="G268" s="36">
        <f t="shared" si="65"/>
        <v>4000</v>
      </c>
      <c r="H268" s="36">
        <f t="shared" si="66"/>
        <v>800</v>
      </c>
    </row>
    <row r="269" spans="1:10" x14ac:dyDescent="0.25">
      <c r="A269" s="205">
        <v>32</v>
      </c>
      <c r="B269" s="206"/>
      <c r="C269" s="207"/>
      <c r="D269" s="59" t="s">
        <v>23</v>
      </c>
      <c r="E269" s="90">
        <v>0</v>
      </c>
      <c r="F269" s="58">
        <f t="shared" si="65"/>
        <v>500</v>
      </c>
      <c r="G269" s="58">
        <f t="shared" si="65"/>
        <v>4000</v>
      </c>
      <c r="H269" s="58">
        <f t="shared" si="66"/>
        <v>800</v>
      </c>
    </row>
    <row r="270" spans="1:10" x14ac:dyDescent="0.25">
      <c r="A270" s="208">
        <v>3299</v>
      </c>
      <c r="B270" s="209">
        <v>3299</v>
      </c>
      <c r="C270" s="210">
        <v>3299</v>
      </c>
      <c r="D270" s="26" t="s">
        <v>53</v>
      </c>
      <c r="E270" s="91">
        <v>0</v>
      </c>
      <c r="F270" s="32">
        <v>500</v>
      </c>
      <c r="G270" s="32">
        <v>4000</v>
      </c>
      <c r="H270" s="32">
        <f t="shared" si="66"/>
        <v>800</v>
      </c>
    </row>
    <row r="271" spans="1:10" ht="27.75" customHeight="1" x14ac:dyDescent="0.25">
      <c r="A271" s="214" t="s">
        <v>55</v>
      </c>
      <c r="B271" s="215"/>
      <c r="C271" s="216"/>
      <c r="D271" s="34" t="s">
        <v>127</v>
      </c>
      <c r="E271" s="87">
        <v>1013769.43526445</v>
      </c>
      <c r="F271" s="37">
        <f>F272</f>
        <v>7445400</v>
      </c>
      <c r="G271" s="37">
        <f>G272</f>
        <v>8105147.5899999999</v>
      </c>
      <c r="H271" s="37">
        <f t="shared" ref="H271:H275" si="67">G271/F271*100</f>
        <v>108.8611436591721</v>
      </c>
    </row>
    <row r="272" spans="1:10" ht="15" customHeight="1" x14ac:dyDescent="0.25">
      <c r="A272" s="199" t="s">
        <v>124</v>
      </c>
      <c r="B272" s="200"/>
      <c r="C272" s="201"/>
      <c r="D272" s="38" t="s">
        <v>125</v>
      </c>
      <c r="E272" s="88">
        <v>1013769.43526445</v>
      </c>
      <c r="F272" s="38">
        <f>F273</f>
        <v>7445400</v>
      </c>
      <c r="G272" s="38">
        <f>G273</f>
        <v>8105147.5899999999</v>
      </c>
      <c r="H272" s="38">
        <f t="shared" si="67"/>
        <v>108.8611436591721</v>
      </c>
    </row>
    <row r="273" spans="1:8" x14ac:dyDescent="0.25">
      <c r="A273" s="202">
        <v>3</v>
      </c>
      <c r="B273" s="203"/>
      <c r="C273" s="204"/>
      <c r="D273" s="35" t="s">
        <v>16</v>
      </c>
      <c r="E273" s="89">
        <v>1013769.43526445</v>
      </c>
      <c r="F273" s="36">
        <f>F274+F282</f>
        <v>7445400</v>
      </c>
      <c r="G273" s="36">
        <f>G274+G282+G290</f>
        <v>8105147.5899999999</v>
      </c>
      <c r="H273" s="36">
        <f t="shared" si="67"/>
        <v>108.8611436591721</v>
      </c>
    </row>
    <row r="274" spans="1:8" x14ac:dyDescent="0.25">
      <c r="A274" s="205">
        <v>31</v>
      </c>
      <c r="B274" s="206"/>
      <c r="C274" s="207"/>
      <c r="D274" s="59" t="s">
        <v>17</v>
      </c>
      <c r="E274" s="90">
        <v>978681.73866879009</v>
      </c>
      <c r="F274" s="58">
        <f>F275+F277+F279</f>
        <v>7225000</v>
      </c>
      <c r="G274" s="58">
        <f>G275+G277+G279</f>
        <v>7774392.0099999998</v>
      </c>
      <c r="H274" s="58">
        <f t="shared" si="67"/>
        <v>107.60404166089965</v>
      </c>
    </row>
    <row r="275" spans="1:8" x14ac:dyDescent="0.25">
      <c r="A275" s="196" t="s">
        <v>170</v>
      </c>
      <c r="B275" s="197"/>
      <c r="C275" s="198"/>
      <c r="D275" s="163" t="s">
        <v>359</v>
      </c>
      <c r="E275" s="164">
        <v>608.33499236843852</v>
      </c>
      <c r="F275" s="165">
        <f>F276</f>
        <v>6000000</v>
      </c>
      <c r="G275" s="165">
        <f>G276</f>
        <v>6412777.4900000002</v>
      </c>
      <c r="H275" s="165">
        <f t="shared" si="67"/>
        <v>106.87962483333334</v>
      </c>
    </row>
    <row r="276" spans="1:8" x14ac:dyDescent="0.25">
      <c r="A276" s="208" t="s">
        <v>144</v>
      </c>
      <c r="B276" s="209"/>
      <c r="C276" s="210"/>
      <c r="D276" s="29" t="s">
        <v>65</v>
      </c>
      <c r="E276" s="91">
        <v>807825.61284756777</v>
      </c>
      <c r="F276" s="32">
        <v>6000000</v>
      </c>
      <c r="G276" s="104">
        <v>6412777.4900000002</v>
      </c>
      <c r="H276" s="32"/>
    </row>
    <row r="277" spans="1:8" x14ac:dyDescent="0.25">
      <c r="A277" s="196" t="s">
        <v>171</v>
      </c>
      <c r="B277" s="197"/>
      <c r="C277" s="198"/>
      <c r="D277" s="163" t="s">
        <v>360</v>
      </c>
      <c r="E277" s="164">
        <v>608.33499236843852</v>
      </c>
      <c r="F277" s="165">
        <f>F278</f>
        <v>240000</v>
      </c>
      <c r="G277" s="165">
        <f>G278</f>
        <v>296018.65999999997</v>
      </c>
      <c r="H277" s="165">
        <f t="shared" ref="H277" si="68">G277/F277*100</f>
        <v>123.34110833333331</v>
      </c>
    </row>
    <row r="278" spans="1:8" x14ac:dyDescent="0.25">
      <c r="A278" s="208" t="s">
        <v>145</v>
      </c>
      <c r="B278" s="209"/>
      <c r="C278" s="210"/>
      <c r="D278" s="29" t="s">
        <v>66</v>
      </c>
      <c r="E278" s="91">
        <v>36587.585108500891</v>
      </c>
      <c r="F278" s="32">
        <v>240000</v>
      </c>
      <c r="G278" s="104">
        <v>296018.65999999997</v>
      </c>
      <c r="H278" s="32"/>
    </row>
    <row r="279" spans="1:8" x14ac:dyDescent="0.25">
      <c r="A279" s="196" t="s">
        <v>172</v>
      </c>
      <c r="B279" s="197"/>
      <c r="C279" s="198"/>
      <c r="D279" s="163" t="s">
        <v>67</v>
      </c>
      <c r="E279" s="164">
        <v>608.33499236843852</v>
      </c>
      <c r="F279" s="165">
        <f>F280+F281</f>
        <v>985000</v>
      </c>
      <c r="G279" s="165">
        <f>G280+G281</f>
        <v>1065595.8599999999</v>
      </c>
      <c r="H279" s="165">
        <f t="shared" ref="H279" si="69">G279/F279*100</f>
        <v>108.18232081218272</v>
      </c>
    </row>
    <row r="280" spans="1:8" x14ac:dyDescent="0.25">
      <c r="A280" s="208" t="s">
        <v>146</v>
      </c>
      <c r="B280" s="209"/>
      <c r="C280" s="210"/>
      <c r="D280" s="29" t="s">
        <v>68</v>
      </c>
      <c r="E280" s="91">
        <v>134268.54071272147</v>
      </c>
      <c r="F280" s="32">
        <v>984000</v>
      </c>
      <c r="G280" s="104">
        <v>1064366.94</v>
      </c>
      <c r="H280" s="32"/>
    </row>
    <row r="281" spans="1:8" ht="26.25" x14ac:dyDescent="0.25">
      <c r="A281" s="208" t="s">
        <v>160</v>
      </c>
      <c r="B281" s="209"/>
      <c r="C281" s="210"/>
      <c r="D281" s="29" t="s">
        <v>89</v>
      </c>
      <c r="E281" s="91">
        <v>0</v>
      </c>
      <c r="F281" s="32">
        <v>1000</v>
      </c>
      <c r="G281" s="104">
        <v>1228.92</v>
      </c>
      <c r="H281" s="32"/>
    </row>
    <row r="282" spans="1:8" x14ac:dyDescent="0.25">
      <c r="A282" s="205">
        <v>32</v>
      </c>
      <c r="B282" s="206"/>
      <c r="C282" s="207"/>
      <c r="D282" s="59" t="s">
        <v>23</v>
      </c>
      <c r="E282" s="90">
        <v>35087.69659565996</v>
      </c>
      <c r="F282" s="58">
        <f>F283+F285+F287</f>
        <v>220400</v>
      </c>
      <c r="G282" s="58">
        <f>G283+G285+G287</f>
        <v>304158.62</v>
      </c>
      <c r="H282" s="58">
        <f t="shared" ref="H282:H283" si="70">G282/F282*100</f>
        <v>138.00300362976407</v>
      </c>
    </row>
    <row r="283" spans="1:8" x14ac:dyDescent="0.25">
      <c r="A283" s="196" t="s">
        <v>174</v>
      </c>
      <c r="B283" s="197"/>
      <c r="C283" s="198"/>
      <c r="D283" s="163" t="s">
        <v>69</v>
      </c>
      <c r="E283" s="164">
        <v>608.33499236843852</v>
      </c>
      <c r="F283" s="165">
        <f>F284</f>
        <v>200000</v>
      </c>
      <c r="G283" s="165">
        <f>G284</f>
        <v>242495.4</v>
      </c>
      <c r="H283" s="165">
        <f t="shared" si="70"/>
        <v>121.24770000000001</v>
      </c>
    </row>
    <row r="284" spans="1:8" x14ac:dyDescent="0.25">
      <c r="A284" s="208" t="s">
        <v>148</v>
      </c>
      <c r="B284" s="209"/>
      <c r="C284" s="210"/>
      <c r="D284" s="29" t="s">
        <v>70</v>
      </c>
      <c r="E284" s="91">
        <v>22081.260866679939</v>
      </c>
      <c r="F284" s="32">
        <v>200000</v>
      </c>
      <c r="G284" s="104">
        <v>242495.4</v>
      </c>
      <c r="H284" s="32"/>
    </row>
    <row r="285" spans="1:8" x14ac:dyDescent="0.25">
      <c r="A285" s="196" t="s">
        <v>181</v>
      </c>
      <c r="B285" s="197"/>
      <c r="C285" s="198"/>
      <c r="D285" s="163" t="s">
        <v>58</v>
      </c>
      <c r="E285" s="164">
        <v>608.33499236843852</v>
      </c>
      <c r="F285" s="165">
        <f>F286</f>
        <v>20400</v>
      </c>
      <c r="G285" s="165">
        <f>G286</f>
        <v>4050</v>
      </c>
      <c r="H285" s="165"/>
    </row>
    <row r="286" spans="1:8" x14ac:dyDescent="0.25">
      <c r="A286" s="208" t="s">
        <v>159</v>
      </c>
      <c r="B286" s="209"/>
      <c r="C286" s="210"/>
      <c r="D286" s="31" t="s">
        <v>158</v>
      </c>
      <c r="E286" s="91">
        <v>444.62140818899724</v>
      </c>
      <c r="F286" s="32">
        <v>20400</v>
      </c>
      <c r="G286" s="104">
        <v>4050</v>
      </c>
      <c r="H286" s="32"/>
    </row>
    <row r="287" spans="1:8" x14ac:dyDescent="0.25">
      <c r="A287" s="196" t="s">
        <v>175</v>
      </c>
      <c r="B287" s="197"/>
      <c r="C287" s="198"/>
      <c r="D287" s="163" t="s">
        <v>63</v>
      </c>
      <c r="E287" s="164">
        <v>608.33499236843852</v>
      </c>
      <c r="F287" s="165">
        <f>F288+F289</f>
        <v>0</v>
      </c>
      <c r="G287" s="165">
        <f>G288+G289</f>
        <v>57613.22</v>
      </c>
      <c r="H287" s="165" t="e">
        <f t="shared" ref="H287" si="71">G287/F287*100</f>
        <v>#DIV/0!</v>
      </c>
    </row>
    <row r="288" spans="1:8" x14ac:dyDescent="0.25">
      <c r="A288" s="208" t="s">
        <v>161</v>
      </c>
      <c r="B288" s="209"/>
      <c r="C288" s="210"/>
      <c r="D288" s="29" t="s">
        <v>90</v>
      </c>
      <c r="E288" s="91">
        <v>2697.5910810272744</v>
      </c>
      <c r="F288" s="32">
        <v>0</v>
      </c>
      <c r="G288" s="104">
        <v>20450</v>
      </c>
      <c r="H288" s="32"/>
    </row>
    <row r="289" spans="1:8" x14ac:dyDescent="0.25">
      <c r="A289" s="60" t="s">
        <v>162</v>
      </c>
      <c r="B289" s="61"/>
      <c r="C289" s="62"/>
      <c r="D289" s="29" t="s">
        <v>91</v>
      </c>
      <c r="E289" s="91">
        <v>9864.2232397637526</v>
      </c>
      <c r="F289" s="32"/>
      <c r="G289" s="104">
        <v>37163.22</v>
      </c>
      <c r="H289" s="32"/>
    </row>
    <row r="290" spans="1:8" x14ac:dyDescent="0.25">
      <c r="A290" s="205">
        <v>34</v>
      </c>
      <c r="B290" s="206"/>
      <c r="C290" s="207"/>
      <c r="D290" s="59" t="s">
        <v>79</v>
      </c>
      <c r="E290" s="90">
        <v>0</v>
      </c>
      <c r="F290" s="58">
        <f>F291</f>
        <v>0</v>
      </c>
      <c r="G290" s="58">
        <f>G291</f>
        <v>26596.959999999999</v>
      </c>
      <c r="H290" s="58">
        <v>0</v>
      </c>
    </row>
    <row r="291" spans="1:8" x14ac:dyDescent="0.25">
      <c r="A291" s="196" t="s">
        <v>187</v>
      </c>
      <c r="B291" s="197"/>
      <c r="C291" s="198"/>
      <c r="D291" s="163" t="s">
        <v>92</v>
      </c>
      <c r="E291" s="164">
        <v>608.33499236843852</v>
      </c>
      <c r="F291" s="165">
        <f>F292</f>
        <v>0</v>
      </c>
      <c r="G291" s="165">
        <f>G292</f>
        <v>26596.959999999999</v>
      </c>
      <c r="H291" s="165" t="e">
        <f t="shared" ref="H291:H304" si="72">G291/F291*100</f>
        <v>#DIV/0!</v>
      </c>
    </row>
    <row r="292" spans="1:8" x14ac:dyDescent="0.25">
      <c r="A292" s="64" t="s">
        <v>152</v>
      </c>
      <c r="B292" s="65"/>
      <c r="C292" s="66"/>
      <c r="D292" s="29" t="s">
        <v>81</v>
      </c>
      <c r="E292" s="91">
        <v>0</v>
      </c>
      <c r="F292" s="32">
        <v>0</v>
      </c>
      <c r="G292" s="104">
        <v>26596.959999999999</v>
      </c>
      <c r="H292" s="32"/>
    </row>
    <row r="293" spans="1:8" ht="21" customHeight="1" x14ac:dyDescent="0.25">
      <c r="A293" s="214" t="s">
        <v>61</v>
      </c>
      <c r="B293" s="215"/>
      <c r="C293" s="216"/>
      <c r="D293" s="34" t="s">
        <v>128</v>
      </c>
      <c r="E293" s="87">
        <v>39827.952750680204</v>
      </c>
      <c r="F293" s="37">
        <f>F294+F301+F307</f>
        <v>372736</v>
      </c>
      <c r="G293" s="106">
        <f>G294+G301+G307</f>
        <v>406532.9</v>
      </c>
      <c r="H293" s="37">
        <f t="shared" si="72"/>
        <v>109.06724866929946</v>
      </c>
    </row>
    <row r="294" spans="1:8" ht="15" hidden="1" customHeight="1" x14ac:dyDescent="0.25">
      <c r="A294" s="199" t="s">
        <v>120</v>
      </c>
      <c r="B294" s="200"/>
      <c r="C294" s="201"/>
      <c r="D294" s="38" t="s">
        <v>121</v>
      </c>
      <c r="E294" s="88">
        <v>0</v>
      </c>
      <c r="F294" s="38">
        <v>0</v>
      </c>
      <c r="G294" s="107">
        <v>0</v>
      </c>
      <c r="H294" s="38" t="e">
        <f t="shared" si="72"/>
        <v>#DIV/0!</v>
      </c>
    </row>
    <row r="295" spans="1:8" hidden="1" x14ac:dyDescent="0.25">
      <c r="A295" s="202">
        <v>3</v>
      </c>
      <c r="B295" s="203"/>
      <c r="C295" s="204"/>
      <c r="D295" s="35" t="s">
        <v>16</v>
      </c>
      <c r="E295" s="89">
        <v>0</v>
      </c>
      <c r="F295" s="36">
        <v>0</v>
      </c>
      <c r="G295" s="108">
        <v>0</v>
      </c>
      <c r="H295" s="36" t="e">
        <f t="shared" si="72"/>
        <v>#DIV/0!</v>
      </c>
    </row>
    <row r="296" spans="1:8" hidden="1" x14ac:dyDescent="0.25">
      <c r="A296" s="205">
        <v>32</v>
      </c>
      <c r="B296" s="206"/>
      <c r="C296" s="207"/>
      <c r="D296" s="59" t="s">
        <v>23</v>
      </c>
      <c r="E296" s="90">
        <v>0</v>
      </c>
      <c r="F296" s="58">
        <v>0</v>
      </c>
      <c r="G296" s="105">
        <v>0</v>
      </c>
      <c r="H296" s="58" t="e">
        <f t="shared" si="72"/>
        <v>#DIV/0!</v>
      </c>
    </row>
    <row r="297" spans="1:8" ht="15.75" hidden="1" customHeight="1" x14ac:dyDescent="0.25">
      <c r="A297" s="208" t="s">
        <v>151</v>
      </c>
      <c r="B297" s="209"/>
      <c r="C297" s="210"/>
      <c r="D297" s="29" t="s">
        <v>59</v>
      </c>
      <c r="E297" s="91"/>
      <c r="F297" s="32"/>
      <c r="G297" s="104"/>
      <c r="H297" s="32" t="e">
        <f t="shared" si="72"/>
        <v>#DIV/0!</v>
      </c>
    </row>
    <row r="298" spans="1:8" ht="25.5" hidden="1" x14ac:dyDescent="0.25">
      <c r="A298" s="202">
        <v>4</v>
      </c>
      <c r="B298" s="203"/>
      <c r="C298" s="204"/>
      <c r="D298" s="35" t="s">
        <v>18</v>
      </c>
      <c r="E298" s="89">
        <v>0</v>
      </c>
      <c r="F298" s="36">
        <v>0</v>
      </c>
      <c r="G298" s="108">
        <v>0</v>
      </c>
      <c r="H298" s="36" t="e">
        <f t="shared" si="72"/>
        <v>#DIV/0!</v>
      </c>
    </row>
    <row r="299" spans="1:8" ht="25.5" hidden="1" x14ac:dyDescent="0.25">
      <c r="A299" s="205">
        <v>42</v>
      </c>
      <c r="B299" s="206"/>
      <c r="C299" s="207"/>
      <c r="D299" s="59" t="s">
        <v>83</v>
      </c>
      <c r="E299" s="90">
        <v>0</v>
      </c>
      <c r="F299" s="58">
        <v>0</v>
      </c>
      <c r="G299" s="105">
        <v>0</v>
      </c>
      <c r="H299" s="58" t="e">
        <f t="shared" si="72"/>
        <v>#DIV/0!</v>
      </c>
    </row>
    <row r="300" spans="1:8" ht="26.25" hidden="1" x14ac:dyDescent="0.25">
      <c r="A300" s="60" t="s">
        <v>155</v>
      </c>
      <c r="B300" s="61"/>
      <c r="C300" s="62"/>
      <c r="D300" s="29" t="s">
        <v>94</v>
      </c>
      <c r="E300" s="91"/>
      <c r="F300" s="32"/>
      <c r="G300" s="104"/>
      <c r="H300" s="32" t="e">
        <f t="shared" si="72"/>
        <v>#DIV/0!</v>
      </c>
    </row>
    <row r="301" spans="1:8" ht="15" customHeight="1" x14ac:dyDescent="0.25">
      <c r="A301" s="199" t="s">
        <v>122</v>
      </c>
      <c r="B301" s="200"/>
      <c r="C301" s="201"/>
      <c r="D301" s="38" t="s">
        <v>123</v>
      </c>
      <c r="E301" s="88">
        <v>24220.290662950429</v>
      </c>
      <c r="F301" s="38">
        <f>F302</f>
        <v>185000</v>
      </c>
      <c r="G301" s="107">
        <f>G302</f>
        <v>222509.9</v>
      </c>
      <c r="H301" s="38">
        <f t="shared" si="72"/>
        <v>120.27562162162162</v>
      </c>
    </row>
    <row r="302" spans="1:8" x14ac:dyDescent="0.25">
      <c r="A302" s="202">
        <v>3</v>
      </c>
      <c r="B302" s="203"/>
      <c r="C302" s="204"/>
      <c r="D302" s="35" t="s">
        <v>16</v>
      </c>
      <c r="E302" s="89">
        <v>24220.290662950429</v>
      </c>
      <c r="F302" s="36">
        <f>F303</f>
        <v>185000</v>
      </c>
      <c r="G302" s="108">
        <f>G303</f>
        <v>222509.9</v>
      </c>
      <c r="H302" s="36">
        <f t="shared" si="72"/>
        <v>120.27562162162162</v>
      </c>
    </row>
    <row r="303" spans="1:8" x14ac:dyDescent="0.25">
      <c r="A303" s="205">
        <v>32</v>
      </c>
      <c r="B303" s="206"/>
      <c r="C303" s="207"/>
      <c r="D303" s="59" t="s">
        <v>23</v>
      </c>
      <c r="E303" s="90">
        <v>24220.290662950429</v>
      </c>
      <c r="F303" s="58">
        <f>SUM(F305:F306)</f>
        <v>185000</v>
      </c>
      <c r="G303" s="105">
        <f>SUM(G305:G306)</f>
        <v>222509.9</v>
      </c>
      <c r="H303" s="58">
        <f t="shared" si="72"/>
        <v>120.27562162162162</v>
      </c>
    </row>
    <row r="304" spans="1:8" x14ac:dyDescent="0.25">
      <c r="A304" s="196" t="s">
        <v>177</v>
      </c>
      <c r="B304" s="197"/>
      <c r="C304" s="198"/>
      <c r="D304" s="163" t="s">
        <v>56</v>
      </c>
      <c r="E304" s="164">
        <v>608.33499236843852</v>
      </c>
      <c r="F304" s="165">
        <f>F305+F306</f>
        <v>185000</v>
      </c>
      <c r="G304" s="165">
        <f>G305+G306</f>
        <v>222509.9</v>
      </c>
      <c r="H304" s="165">
        <f t="shared" si="72"/>
        <v>120.27562162162162</v>
      </c>
    </row>
    <row r="305" spans="1:8" x14ac:dyDescent="0.25">
      <c r="A305" s="208" t="s">
        <v>163</v>
      </c>
      <c r="B305" s="209"/>
      <c r="C305" s="210"/>
      <c r="D305" s="29" t="s">
        <v>38</v>
      </c>
      <c r="E305" s="91">
        <v>288.70794346008358</v>
      </c>
      <c r="F305" s="32">
        <v>5000</v>
      </c>
      <c r="G305" s="104">
        <v>3656.85</v>
      </c>
      <c r="H305" s="32"/>
    </row>
    <row r="306" spans="1:8" x14ac:dyDescent="0.25">
      <c r="A306" s="60" t="s">
        <v>164</v>
      </c>
      <c r="B306" s="61"/>
      <c r="C306" s="62"/>
      <c r="D306" s="29" t="s">
        <v>93</v>
      </c>
      <c r="E306" s="91">
        <v>22084.08122635875</v>
      </c>
      <c r="F306" s="32">
        <v>180000</v>
      </c>
      <c r="G306" s="104">
        <v>218853.05</v>
      </c>
      <c r="H306" s="32"/>
    </row>
    <row r="307" spans="1:8" ht="15" customHeight="1" x14ac:dyDescent="0.25">
      <c r="A307" s="199" t="s">
        <v>124</v>
      </c>
      <c r="B307" s="200"/>
      <c r="C307" s="201"/>
      <c r="D307" s="38" t="s">
        <v>125</v>
      </c>
      <c r="E307" s="88">
        <v>15607.662087729774</v>
      </c>
      <c r="F307" s="38">
        <f>F308+F318</f>
        <v>187736</v>
      </c>
      <c r="G307" s="107">
        <f>G308+G318</f>
        <v>184023</v>
      </c>
      <c r="H307" s="38">
        <f t="shared" ref="H307:H308" si="73">G307/F307*100</f>
        <v>98.02222269570035</v>
      </c>
    </row>
    <row r="308" spans="1:8" x14ac:dyDescent="0.25">
      <c r="A308" s="202">
        <v>3</v>
      </c>
      <c r="B308" s="203"/>
      <c r="C308" s="204"/>
      <c r="D308" s="35" t="s">
        <v>16</v>
      </c>
      <c r="E308" s="89">
        <v>15607.662087729774</v>
      </c>
      <c r="F308" s="36">
        <f>F309</f>
        <v>177736</v>
      </c>
      <c r="G308" s="108">
        <f>G309</f>
        <v>171266.07</v>
      </c>
      <c r="H308" s="36">
        <f t="shared" si="73"/>
        <v>96.359808930098581</v>
      </c>
    </row>
    <row r="309" spans="1:8" x14ac:dyDescent="0.25">
      <c r="A309" s="205">
        <v>32</v>
      </c>
      <c r="B309" s="206"/>
      <c r="C309" s="207"/>
      <c r="D309" s="59" t="s">
        <v>23</v>
      </c>
      <c r="E309" s="90">
        <v>15607.662087729774</v>
      </c>
      <c r="F309" s="58">
        <f>F310+F315</f>
        <v>177736</v>
      </c>
      <c r="G309" s="58">
        <f>G310+G315</f>
        <v>171266.07</v>
      </c>
      <c r="H309" s="58"/>
    </row>
    <row r="310" spans="1:8" x14ac:dyDescent="0.25">
      <c r="A310" s="196" t="s">
        <v>177</v>
      </c>
      <c r="B310" s="197"/>
      <c r="C310" s="198"/>
      <c r="D310" s="163" t="s">
        <v>56</v>
      </c>
      <c r="E310" s="164">
        <v>608.33499236843852</v>
      </c>
      <c r="F310" s="165">
        <f>SUM(F311:F314)</f>
        <v>167736</v>
      </c>
      <c r="G310" s="165">
        <f>SUM(G311:G314)</f>
        <v>171266.07</v>
      </c>
      <c r="H310" s="165">
        <f t="shared" ref="H310" si="74">G310/F310*100</f>
        <v>102.10453927600516</v>
      </c>
    </row>
    <row r="311" spans="1:8" x14ac:dyDescent="0.25">
      <c r="A311" s="208" t="s">
        <v>163</v>
      </c>
      <c r="B311" s="209"/>
      <c r="C311" s="210"/>
      <c r="D311" s="29" t="s">
        <v>38</v>
      </c>
      <c r="E311" s="91"/>
      <c r="F311" s="32">
        <v>3000</v>
      </c>
      <c r="G311" s="104">
        <v>3273.22</v>
      </c>
      <c r="H311" s="32"/>
    </row>
    <row r="312" spans="1:8" x14ac:dyDescent="0.25">
      <c r="A312" s="60" t="s">
        <v>164</v>
      </c>
      <c r="B312" s="61"/>
      <c r="C312" s="62"/>
      <c r="D312" s="29" t="s">
        <v>93</v>
      </c>
      <c r="E312" s="91">
        <v>15607.662087729774</v>
      </c>
      <c r="F312" s="32">
        <v>162736</v>
      </c>
      <c r="G312" s="104">
        <v>167699.64000000001</v>
      </c>
      <c r="H312" s="32"/>
    </row>
    <row r="313" spans="1:8" x14ac:dyDescent="0.25">
      <c r="A313" s="208" t="s">
        <v>150</v>
      </c>
      <c r="B313" s="209"/>
      <c r="C313" s="210"/>
      <c r="D313" s="29" t="s">
        <v>57</v>
      </c>
      <c r="E313" s="91"/>
      <c r="F313" s="32">
        <v>1000</v>
      </c>
      <c r="G313" s="104"/>
      <c r="H313" s="32"/>
    </row>
    <row r="314" spans="1:8" x14ac:dyDescent="0.25">
      <c r="A314" s="208" t="s">
        <v>165</v>
      </c>
      <c r="B314" s="209"/>
      <c r="C314" s="210"/>
      <c r="D314" s="29" t="s">
        <v>40</v>
      </c>
      <c r="E314" s="91"/>
      <c r="F314" s="32">
        <v>1000</v>
      </c>
      <c r="G314" s="104">
        <v>293.20999999999998</v>
      </c>
      <c r="H314" s="32"/>
    </row>
    <row r="315" spans="1:8" x14ac:dyDescent="0.25">
      <c r="A315" s="196" t="s">
        <v>181</v>
      </c>
      <c r="B315" s="197"/>
      <c r="C315" s="198"/>
      <c r="D315" s="163" t="s">
        <v>58</v>
      </c>
      <c r="E315" s="164">
        <v>608.33499236843852</v>
      </c>
      <c r="F315" s="165">
        <f>SUM(F316:F317)</f>
        <v>10000</v>
      </c>
      <c r="G315" s="165">
        <f>SUM(G316:G317)</f>
        <v>0</v>
      </c>
      <c r="H315" s="165">
        <f t="shared" ref="H315" si="75">G315/F315*100</f>
        <v>0</v>
      </c>
    </row>
    <row r="316" spans="1:8" x14ac:dyDescent="0.25">
      <c r="A316" s="208" t="s">
        <v>151</v>
      </c>
      <c r="B316" s="209"/>
      <c r="C316" s="210"/>
      <c r="D316" s="29" t="s">
        <v>59</v>
      </c>
      <c r="E316" s="91"/>
      <c r="F316" s="32">
        <v>10000</v>
      </c>
      <c r="G316" s="32">
        <v>0</v>
      </c>
      <c r="H316" s="32"/>
    </row>
    <row r="317" spans="1:8" x14ac:dyDescent="0.25">
      <c r="A317" s="208" t="s">
        <v>159</v>
      </c>
      <c r="B317" s="209"/>
      <c r="C317" s="210"/>
      <c r="D317" s="31" t="s">
        <v>167</v>
      </c>
      <c r="E317" s="91"/>
      <c r="F317" s="32"/>
      <c r="G317" s="32"/>
      <c r="H317" s="32"/>
    </row>
    <row r="318" spans="1:8" ht="25.5" x14ac:dyDescent="0.25">
      <c r="A318" s="202">
        <v>4</v>
      </c>
      <c r="B318" s="203"/>
      <c r="C318" s="204"/>
      <c r="D318" s="35" t="s">
        <v>18</v>
      </c>
      <c r="E318" s="89">
        <v>0</v>
      </c>
      <c r="F318" s="36">
        <f>F319</f>
        <v>10000</v>
      </c>
      <c r="G318" s="36">
        <f>G319</f>
        <v>12756.93</v>
      </c>
      <c r="H318" s="36">
        <f t="shared" ref="H318:H320" si="76">G318/F318*100</f>
        <v>127.5693</v>
      </c>
    </row>
    <row r="319" spans="1:8" ht="25.5" x14ac:dyDescent="0.25">
      <c r="A319" s="205">
        <v>42</v>
      </c>
      <c r="B319" s="206"/>
      <c r="C319" s="207"/>
      <c r="D319" s="59" t="s">
        <v>83</v>
      </c>
      <c r="E319" s="90">
        <v>0</v>
      </c>
      <c r="F319" s="58">
        <f>F321</f>
        <v>10000</v>
      </c>
      <c r="G319" s="58">
        <f>G321</f>
        <v>12756.93</v>
      </c>
      <c r="H319" s="58">
        <f t="shared" si="76"/>
        <v>127.5693</v>
      </c>
    </row>
    <row r="320" spans="1:8" x14ac:dyDescent="0.25">
      <c r="A320" s="196" t="s">
        <v>204</v>
      </c>
      <c r="B320" s="197"/>
      <c r="C320" s="198"/>
      <c r="D320" s="163" t="s">
        <v>84</v>
      </c>
      <c r="E320" s="164">
        <v>608.33499236843852</v>
      </c>
      <c r="F320" s="165">
        <f>SUM(F321:F322)</f>
        <v>10000</v>
      </c>
      <c r="G320" s="165">
        <f>SUM(G321:G322)</f>
        <v>12756.93</v>
      </c>
      <c r="H320" s="165">
        <f t="shared" si="76"/>
        <v>127.5693</v>
      </c>
    </row>
    <row r="321" spans="1:13" ht="26.25" x14ac:dyDescent="0.25">
      <c r="A321" s="60" t="s">
        <v>155</v>
      </c>
      <c r="B321" s="61"/>
      <c r="C321" s="62"/>
      <c r="D321" s="29" t="s">
        <v>94</v>
      </c>
      <c r="E321" s="91"/>
      <c r="F321" s="32">
        <v>10000</v>
      </c>
      <c r="G321" s="104">
        <v>12756.93</v>
      </c>
      <c r="H321" s="32"/>
    </row>
    <row r="322" spans="1:13" ht="15" hidden="1" customHeight="1" x14ac:dyDescent="0.25">
      <c r="A322" s="199" t="s">
        <v>166</v>
      </c>
      <c r="B322" s="200"/>
      <c r="C322" s="201"/>
      <c r="D322" s="38" t="s">
        <v>139</v>
      </c>
      <c r="E322" s="88">
        <v>0</v>
      </c>
      <c r="F322" s="38">
        <v>0</v>
      </c>
      <c r="G322" s="38">
        <v>0</v>
      </c>
      <c r="H322" s="38"/>
    </row>
    <row r="323" spans="1:13" hidden="1" x14ac:dyDescent="0.25">
      <c r="A323" s="202">
        <v>3</v>
      </c>
      <c r="B323" s="203"/>
      <c r="C323" s="204"/>
      <c r="D323" s="45" t="s">
        <v>16</v>
      </c>
      <c r="E323" s="89">
        <v>0</v>
      </c>
      <c r="F323" s="36">
        <v>0</v>
      </c>
      <c r="G323" s="36">
        <v>0</v>
      </c>
      <c r="H323" s="36"/>
    </row>
    <row r="324" spans="1:13" hidden="1" x14ac:dyDescent="0.25">
      <c r="A324" s="205">
        <v>32</v>
      </c>
      <c r="B324" s="206"/>
      <c r="C324" s="207"/>
      <c r="D324" s="59" t="s">
        <v>23</v>
      </c>
      <c r="E324" s="90">
        <v>0</v>
      </c>
      <c r="F324" s="58">
        <v>0</v>
      </c>
      <c r="G324" s="58">
        <v>0</v>
      </c>
      <c r="H324" s="58"/>
    </row>
    <row r="325" spans="1:13" hidden="1" x14ac:dyDescent="0.25">
      <c r="A325" s="60" t="s">
        <v>164</v>
      </c>
      <c r="B325" s="61"/>
      <c r="C325" s="62"/>
      <c r="D325" s="29" t="s">
        <v>93</v>
      </c>
      <c r="E325" s="91"/>
      <c r="F325" s="32"/>
      <c r="G325" s="32"/>
      <c r="H325" s="32"/>
    </row>
    <row r="326" spans="1:13" hidden="1" x14ac:dyDescent="0.25">
      <c r="A326" s="208" t="s">
        <v>165</v>
      </c>
      <c r="B326" s="209"/>
      <c r="C326" s="210"/>
      <c r="D326" s="29" t="s">
        <v>40</v>
      </c>
      <c r="E326" s="91"/>
      <c r="F326" s="32"/>
      <c r="G326" s="32"/>
      <c r="H326" s="32"/>
    </row>
    <row r="327" spans="1:13" hidden="1" x14ac:dyDescent="0.25">
      <c r="A327" s="208" t="s">
        <v>151</v>
      </c>
      <c r="B327" s="209"/>
      <c r="C327" s="210"/>
      <c r="D327" s="29" t="s">
        <v>59</v>
      </c>
      <c r="E327" s="91"/>
      <c r="F327" s="32"/>
      <c r="G327" s="32"/>
      <c r="H327" s="32"/>
    </row>
    <row r="328" spans="1:13" ht="21" customHeight="1" x14ac:dyDescent="0.25">
      <c r="A328" s="214" t="s">
        <v>95</v>
      </c>
      <c r="B328" s="215"/>
      <c r="C328" s="216"/>
      <c r="D328" s="34" t="s">
        <v>129</v>
      </c>
      <c r="E328" s="87">
        <v>0</v>
      </c>
      <c r="F328" s="37">
        <f>F329+F333</f>
        <v>0</v>
      </c>
      <c r="G328" s="37">
        <f>G329+G333</f>
        <v>197393.45</v>
      </c>
      <c r="H328" s="37">
        <v>0</v>
      </c>
    </row>
    <row r="329" spans="1:13" ht="15" hidden="1" customHeight="1" x14ac:dyDescent="0.25">
      <c r="A329" s="199" t="s">
        <v>120</v>
      </c>
      <c r="B329" s="200"/>
      <c r="C329" s="201"/>
      <c r="D329" s="38" t="s">
        <v>121</v>
      </c>
      <c r="E329" s="88">
        <v>0</v>
      </c>
      <c r="F329" s="38">
        <f t="shared" ref="F329:G331" si="77">F330</f>
        <v>0</v>
      </c>
      <c r="G329" s="38">
        <f t="shared" si="77"/>
        <v>0</v>
      </c>
      <c r="H329" s="38" t="e">
        <f t="shared" ref="H329:H332" si="78">G329/F329*100</f>
        <v>#DIV/0!</v>
      </c>
      <c r="M329" s="44"/>
    </row>
    <row r="330" spans="1:13" hidden="1" x14ac:dyDescent="0.25">
      <c r="A330" s="202">
        <v>3</v>
      </c>
      <c r="B330" s="203"/>
      <c r="C330" s="204"/>
      <c r="D330" s="35" t="s">
        <v>16</v>
      </c>
      <c r="E330" s="89">
        <v>0</v>
      </c>
      <c r="F330" s="36">
        <f t="shared" si="77"/>
        <v>0</v>
      </c>
      <c r="G330" s="36">
        <f t="shared" si="77"/>
        <v>0</v>
      </c>
      <c r="H330" s="36" t="e">
        <f t="shared" si="78"/>
        <v>#DIV/0!</v>
      </c>
    </row>
    <row r="331" spans="1:13" hidden="1" x14ac:dyDescent="0.25">
      <c r="A331" s="205">
        <v>32</v>
      </c>
      <c r="B331" s="206"/>
      <c r="C331" s="207"/>
      <c r="D331" s="59" t="s">
        <v>23</v>
      </c>
      <c r="E331" s="90">
        <v>0</v>
      </c>
      <c r="F331" s="58">
        <f t="shared" si="77"/>
        <v>0</v>
      </c>
      <c r="G331" s="58">
        <f t="shared" si="77"/>
        <v>0</v>
      </c>
      <c r="H331" s="58" t="e">
        <f t="shared" si="78"/>
        <v>#DIV/0!</v>
      </c>
    </row>
    <row r="332" spans="1:13" hidden="1" x14ac:dyDescent="0.25">
      <c r="A332" s="208" t="s">
        <v>163</v>
      </c>
      <c r="B332" s="209"/>
      <c r="C332" s="210"/>
      <c r="D332" s="29" t="s">
        <v>96</v>
      </c>
      <c r="E332" s="91"/>
      <c r="F332" s="32"/>
      <c r="G332" s="32"/>
      <c r="H332" s="32" t="e">
        <f t="shared" si="78"/>
        <v>#DIV/0!</v>
      </c>
    </row>
    <row r="333" spans="1:13" ht="15" customHeight="1" x14ac:dyDescent="0.25">
      <c r="A333" s="199" t="s">
        <v>124</v>
      </c>
      <c r="B333" s="200"/>
      <c r="C333" s="201"/>
      <c r="D333" s="38" t="s">
        <v>125</v>
      </c>
      <c r="E333" s="88">
        <v>0</v>
      </c>
      <c r="F333" s="38">
        <f>F334+F339</f>
        <v>0</v>
      </c>
      <c r="G333" s="38">
        <f>G334+G339</f>
        <v>197393.45</v>
      </c>
      <c r="H333" s="38">
        <v>0</v>
      </c>
    </row>
    <row r="334" spans="1:13" x14ac:dyDescent="0.25">
      <c r="A334" s="202">
        <v>3</v>
      </c>
      <c r="B334" s="203"/>
      <c r="C334" s="204"/>
      <c r="D334" s="35" t="s">
        <v>16</v>
      </c>
      <c r="E334" s="89">
        <v>0</v>
      </c>
      <c r="F334" s="36">
        <f>F335+F338</f>
        <v>0</v>
      </c>
      <c r="G334" s="36">
        <f>G335+G338</f>
        <v>185769.84</v>
      </c>
      <c r="H334" s="36">
        <v>0</v>
      </c>
    </row>
    <row r="335" spans="1:13" x14ac:dyDescent="0.25">
      <c r="A335" s="205">
        <v>32</v>
      </c>
      <c r="B335" s="206"/>
      <c r="C335" s="207"/>
      <c r="D335" s="59" t="s">
        <v>23</v>
      </c>
      <c r="E335" s="90">
        <v>0</v>
      </c>
      <c r="F335" s="58">
        <f>F336</f>
        <v>0</v>
      </c>
      <c r="G335" s="58">
        <f>G336</f>
        <v>185769.84</v>
      </c>
      <c r="H335" s="58">
        <v>0</v>
      </c>
    </row>
    <row r="336" spans="1:13" x14ac:dyDescent="0.25">
      <c r="A336" s="196" t="s">
        <v>177</v>
      </c>
      <c r="B336" s="197"/>
      <c r="C336" s="198"/>
      <c r="D336" s="163" t="s">
        <v>56</v>
      </c>
      <c r="E336" s="164">
        <v>608.33499236843852</v>
      </c>
      <c r="F336" s="165">
        <f>F337</f>
        <v>0</v>
      </c>
      <c r="G336" s="165">
        <f>G337</f>
        <v>185769.84</v>
      </c>
      <c r="H336" s="58">
        <v>0</v>
      </c>
    </row>
    <row r="337" spans="1:11" x14ac:dyDescent="0.25">
      <c r="A337" s="208" t="s">
        <v>163</v>
      </c>
      <c r="B337" s="209"/>
      <c r="C337" s="210"/>
      <c r="D337" s="29" t="s">
        <v>96</v>
      </c>
      <c r="E337" s="91"/>
      <c r="F337" s="32"/>
      <c r="G337" s="104">
        <f>145905.84+39864</f>
        <v>185769.84</v>
      </c>
      <c r="H337" s="32"/>
    </row>
    <row r="338" spans="1:11" x14ac:dyDescent="0.25">
      <c r="A338" s="205">
        <v>34</v>
      </c>
      <c r="B338" s="206"/>
      <c r="C338" s="207"/>
      <c r="D338" s="59" t="s">
        <v>79</v>
      </c>
      <c r="E338" s="90">
        <v>0</v>
      </c>
      <c r="F338" s="58">
        <v>0</v>
      </c>
      <c r="G338" s="105">
        <v>0</v>
      </c>
      <c r="H338" s="58">
        <v>0</v>
      </c>
    </row>
    <row r="339" spans="1:11" ht="25.5" x14ac:dyDescent="0.25">
      <c r="A339" s="202">
        <v>4</v>
      </c>
      <c r="B339" s="203"/>
      <c r="C339" s="204"/>
      <c r="D339" s="35" t="s">
        <v>18</v>
      </c>
      <c r="E339" s="89">
        <v>0</v>
      </c>
      <c r="F339" s="36">
        <f>F340</f>
        <v>0</v>
      </c>
      <c r="G339" s="108">
        <f>G340</f>
        <v>11623.61</v>
      </c>
      <c r="H339" s="36">
        <v>0</v>
      </c>
    </row>
    <row r="340" spans="1:11" ht="25.5" x14ac:dyDescent="0.25">
      <c r="A340" s="205">
        <v>42</v>
      </c>
      <c r="B340" s="206"/>
      <c r="C340" s="207"/>
      <c r="D340" s="59" t="s">
        <v>83</v>
      </c>
      <c r="E340" s="90">
        <v>0</v>
      </c>
      <c r="F340" s="58">
        <f>F342</f>
        <v>0</v>
      </c>
      <c r="G340" s="105">
        <f>G342</f>
        <v>11623.61</v>
      </c>
      <c r="H340" s="58">
        <v>0</v>
      </c>
    </row>
    <row r="341" spans="1:11" x14ac:dyDescent="0.25">
      <c r="A341" s="196" t="s">
        <v>205</v>
      </c>
      <c r="B341" s="197"/>
      <c r="C341" s="198"/>
      <c r="D341" s="163" t="s">
        <v>206</v>
      </c>
      <c r="E341" s="164">
        <v>608.33499236843852</v>
      </c>
      <c r="F341" s="165">
        <f>F342</f>
        <v>0</v>
      </c>
      <c r="G341" s="165">
        <f>G342</f>
        <v>11623.61</v>
      </c>
      <c r="H341" s="58">
        <v>0</v>
      </c>
    </row>
    <row r="342" spans="1:11" x14ac:dyDescent="0.25">
      <c r="A342" s="208" t="s">
        <v>156</v>
      </c>
      <c r="B342" s="209"/>
      <c r="C342" s="210"/>
      <c r="D342" s="29" t="s">
        <v>97</v>
      </c>
      <c r="E342" s="91"/>
      <c r="F342" s="32"/>
      <c r="G342" s="104">
        <v>11623.61</v>
      </c>
      <c r="H342" s="32"/>
    </row>
    <row r="344" spans="1:11" x14ac:dyDescent="0.25">
      <c r="A344" t="s">
        <v>223</v>
      </c>
      <c r="D344" s="168" t="s">
        <v>224</v>
      </c>
      <c r="E344" s="95" t="s">
        <v>224</v>
      </c>
      <c r="G344" t="s">
        <v>225</v>
      </c>
    </row>
    <row r="345" spans="1:11" x14ac:dyDescent="0.25">
      <c r="A345" t="s">
        <v>226</v>
      </c>
      <c r="D345" s="168" t="s">
        <v>227</v>
      </c>
      <c r="E345" s="95" t="s">
        <v>227</v>
      </c>
      <c r="G345" t="s">
        <v>228</v>
      </c>
    </row>
    <row r="349" spans="1:11" hidden="1" x14ac:dyDescent="0.25"/>
    <row r="350" spans="1:11" hidden="1" x14ac:dyDescent="0.25">
      <c r="A350">
        <v>31</v>
      </c>
      <c r="D350" t="s">
        <v>17</v>
      </c>
      <c r="E350" s="96">
        <v>1008145.6473554979</v>
      </c>
      <c r="F350" s="44">
        <v>990790.5847983748</v>
      </c>
      <c r="G350" s="44">
        <v>1096857.1238967415</v>
      </c>
      <c r="H350" s="44">
        <v>1118195.8192315348</v>
      </c>
      <c r="J350">
        <v>6596544.8238980826</v>
      </c>
      <c r="K350">
        <v>6619812.7095361315</v>
      </c>
    </row>
    <row r="351" spans="1:11" hidden="1" x14ac:dyDescent="0.25">
      <c r="A351">
        <v>32</v>
      </c>
      <c r="D351" t="s">
        <v>23</v>
      </c>
      <c r="E351" s="96">
        <v>263727.7324308182</v>
      </c>
      <c r="F351" s="44">
        <v>217024.99594779548</v>
      </c>
      <c r="G351" s="44">
        <v>218273.2420200411</v>
      </c>
      <c r="H351" s="44">
        <v>215539.90805494721</v>
      </c>
    </row>
    <row r="352" spans="1:11" hidden="1" x14ac:dyDescent="0.25">
      <c r="A352">
        <v>34</v>
      </c>
      <c r="D352" t="s">
        <v>79</v>
      </c>
      <c r="E352" s="96">
        <v>7503.7958723206584</v>
      </c>
      <c r="F352" s="44">
        <v>1128.1438715243214</v>
      </c>
      <c r="G352" s="44">
        <v>1420.1340500364988</v>
      </c>
      <c r="H352" s="44">
        <v>1194.5052757316344</v>
      </c>
    </row>
    <row r="353" spans="1:11" hidden="1" x14ac:dyDescent="0.25">
      <c r="A353">
        <v>37</v>
      </c>
      <c r="D353" t="s">
        <v>134</v>
      </c>
      <c r="E353" s="96">
        <v>0</v>
      </c>
      <c r="F353" s="44">
        <v>0</v>
      </c>
      <c r="G353" s="44">
        <v>2256.2877430486428</v>
      </c>
      <c r="H353" s="44">
        <v>2256.2877430486428</v>
      </c>
    </row>
    <row r="354" spans="1:11" hidden="1" x14ac:dyDescent="0.25">
      <c r="A354">
        <v>38</v>
      </c>
      <c r="D354" t="s">
        <v>82</v>
      </c>
      <c r="E354" s="96">
        <v>2661.1069082221779</v>
      </c>
      <c r="F354" s="44">
        <v>0</v>
      </c>
      <c r="G354" s="44">
        <v>0</v>
      </c>
      <c r="H354" s="44">
        <v>0</v>
      </c>
    </row>
    <row r="355" spans="1:11" hidden="1" x14ac:dyDescent="0.25">
      <c r="A355">
        <v>42</v>
      </c>
      <c r="D355" t="s">
        <v>135</v>
      </c>
      <c r="E355" s="96">
        <v>41762.963700311899</v>
      </c>
      <c r="F355" s="44">
        <v>111991.50574026145</v>
      </c>
      <c r="G355" s="44">
        <v>6781.44667861172</v>
      </c>
      <c r="H355" s="44">
        <v>3731.7839538124626</v>
      </c>
    </row>
    <row r="356" spans="1:11" hidden="1" x14ac:dyDescent="0.25">
      <c r="D356" s="73" t="s">
        <v>220</v>
      </c>
      <c r="E356" s="97">
        <v>1323801.2462671709</v>
      </c>
      <c r="F356" s="74">
        <v>1320935.2303579561</v>
      </c>
      <c r="G356" s="74">
        <v>1325588.2343884795</v>
      </c>
      <c r="H356" s="74">
        <v>1340918.3042590749</v>
      </c>
    </row>
    <row r="357" spans="1:11" hidden="1" x14ac:dyDescent="0.25">
      <c r="A357" t="s">
        <v>117</v>
      </c>
      <c r="E357" s="96">
        <v>0</v>
      </c>
      <c r="F357" s="98">
        <f>F10</f>
        <v>18312.25</v>
      </c>
      <c r="G357" s="98">
        <f>G10</f>
        <v>23342.1</v>
      </c>
      <c r="H357" s="44">
        <v>2256.2877430486428</v>
      </c>
    </row>
    <row r="358" spans="1:11" hidden="1" x14ac:dyDescent="0.25">
      <c r="A358" t="s">
        <v>99</v>
      </c>
      <c r="E358" s="96">
        <v>180598.407326299</v>
      </c>
      <c r="F358" s="98">
        <f>F23+F52</f>
        <v>384223.9</v>
      </c>
      <c r="G358" s="98">
        <f>G23+G52</f>
        <v>384223.9</v>
      </c>
      <c r="H358" s="44">
        <v>47411.759240825522</v>
      </c>
    </row>
    <row r="359" spans="1:11" hidden="1" x14ac:dyDescent="0.25">
      <c r="A359" t="s">
        <v>105</v>
      </c>
      <c r="E359" s="96">
        <v>19944.213949167162</v>
      </c>
      <c r="F359" s="98">
        <f>F16+F61+F71+F78+F84+F90+F117+F145+F152+F158+F166</f>
        <v>1096937.3600000001</v>
      </c>
      <c r="G359" s="98">
        <f>G16+G61+G71+G78+G84+G90+G117+G145+G152+G158+G166</f>
        <v>1068239.46</v>
      </c>
      <c r="H359" s="44">
        <v>8370.7229411374337</v>
      </c>
    </row>
    <row r="360" spans="1:11" hidden="1" x14ac:dyDescent="0.25">
      <c r="A360" t="s">
        <v>222</v>
      </c>
      <c r="E360" s="96">
        <v>10843.154821156015</v>
      </c>
      <c r="F360" s="98">
        <f>F103+F130</f>
        <v>242860.61000000002</v>
      </c>
      <c r="G360" s="98">
        <f>G103+G130</f>
        <v>242860.62</v>
      </c>
      <c r="H360" s="44">
        <v>25688.747494856987</v>
      </c>
    </row>
    <row r="361" spans="1:11" hidden="1" x14ac:dyDescent="0.25">
      <c r="A361" t="s">
        <v>113</v>
      </c>
      <c r="E361" s="96">
        <v>345.24520538854603</v>
      </c>
      <c r="F361" s="98">
        <f>F173</f>
        <v>3000</v>
      </c>
      <c r="G361" s="44">
        <f>G173</f>
        <v>0</v>
      </c>
      <c r="H361" s="44">
        <v>477.80211029265382</v>
      </c>
    </row>
    <row r="362" spans="1:11" hidden="1" x14ac:dyDescent="0.25">
      <c r="A362" t="s">
        <v>120</v>
      </c>
      <c r="E362" s="96">
        <v>5067.5665273077184</v>
      </c>
      <c r="F362" s="101">
        <f>F184</f>
        <v>36500</v>
      </c>
      <c r="G362" s="101">
        <f>G184</f>
        <v>46874.19</v>
      </c>
      <c r="H362" s="44">
        <v>0</v>
      </c>
    </row>
    <row r="363" spans="1:11" hidden="1" x14ac:dyDescent="0.25">
      <c r="A363" t="s">
        <v>122</v>
      </c>
      <c r="E363" s="96">
        <v>25405.505342093038</v>
      </c>
      <c r="F363" s="98">
        <f>F218+F301</f>
        <v>223900</v>
      </c>
      <c r="G363" s="98">
        <f>G218+G301</f>
        <v>334876.58</v>
      </c>
      <c r="H363" s="44">
        <v>43926.5379255425</v>
      </c>
    </row>
    <row r="364" spans="1:11" hidden="1" x14ac:dyDescent="0.25">
      <c r="A364" t="s">
        <v>124</v>
      </c>
      <c r="E364" s="96">
        <v>1078950.4625389869</v>
      </c>
      <c r="F364" s="98">
        <f>F231+F272+F307+F333</f>
        <v>7953186</v>
      </c>
      <c r="G364" s="98">
        <f>G231+G272+G307+G333</f>
        <v>8540424.6199999992</v>
      </c>
      <c r="H364" s="44">
        <v>1212255.5555697125</v>
      </c>
      <c r="J364">
        <f>12605.28+32285.3+5000+8105147.59+184023+157529.45+3970+39864</f>
        <v>8540424.6199999992</v>
      </c>
      <c r="K364" s="44">
        <f>G364-J364</f>
        <v>0</v>
      </c>
    </row>
    <row r="365" spans="1:11" hidden="1" x14ac:dyDescent="0.25">
      <c r="A365" t="s">
        <v>218</v>
      </c>
      <c r="E365" s="96">
        <v>2646.690556772181</v>
      </c>
      <c r="F365" s="44">
        <f>F267</f>
        <v>500</v>
      </c>
      <c r="G365" s="44">
        <f>G267</f>
        <v>4000</v>
      </c>
      <c r="H365" s="44">
        <v>530.89123365850423</v>
      </c>
    </row>
    <row r="366" spans="1:11" hidden="1" x14ac:dyDescent="0.25">
      <c r="A366" s="57" t="s">
        <v>166</v>
      </c>
      <c r="E366" s="96">
        <v>0</v>
      </c>
      <c r="F366" s="110"/>
      <c r="G366" s="110">
        <v>0</v>
      </c>
      <c r="H366" s="44">
        <v>0</v>
      </c>
    </row>
    <row r="367" spans="1:11" hidden="1" x14ac:dyDescent="0.25">
      <c r="A367" s="57"/>
      <c r="E367" s="96">
        <v>0</v>
      </c>
      <c r="F367" s="44">
        <v>0</v>
      </c>
      <c r="G367" s="44">
        <v>0</v>
      </c>
      <c r="H367" s="44">
        <v>0</v>
      </c>
    </row>
    <row r="368" spans="1:11" hidden="1" x14ac:dyDescent="0.25">
      <c r="G368" s="44">
        <v>0</v>
      </c>
      <c r="H368" s="44">
        <v>0</v>
      </c>
    </row>
    <row r="369" spans="1:8" hidden="1" x14ac:dyDescent="0.25">
      <c r="D369" s="73" t="s">
        <v>221</v>
      </c>
      <c r="E369" s="97">
        <v>1323801.2462671706</v>
      </c>
      <c r="F369" s="109">
        <f>SUM(F357:F368)</f>
        <v>9959420.120000001</v>
      </c>
      <c r="G369" s="109">
        <f>SUM(G357:G368)</f>
        <v>10644841.469999999</v>
      </c>
      <c r="H369" s="74">
        <v>1340918.3042590746</v>
      </c>
    </row>
    <row r="370" spans="1:8" hidden="1" x14ac:dyDescent="0.25">
      <c r="G370" s="44"/>
    </row>
    <row r="371" spans="1:8" hidden="1" x14ac:dyDescent="0.25">
      <c r="G371" s="44"/>
    </row>
    <row r="372" spans="1:8" hidden="1" x14ac:dyDescent="0.25">
      <c r="A372" t="s">
        <v>117</v>
      </c>
      <c r="D372" t="s">
        <v>17</v>
      </c>
      <c r="E372" s="96">
        <v>0</v>
      </c>
      <c r="F372" s="44"/>
      <c r="G372" s="44"/>
    </row>
    <row r="373" spans="1:8" hidden="1" x14ac:dyDescent="0.25">
      <c r="A373" t="s">
        <v>117</v>
      </c>
      <c r="D373" t="s">
        <v>23</v>
      </c>
      <c r="E373" s="96">
        <v>0</v>
      </c>
      <c r="G373" s="44"/>
    </row>
    <row r="374" spans="1:8" hidden="1" x14ac:dyDescent="0.25">
      <c r="A374" t="s">
        <v>117</v>
      </c>
      <c r="D374" t="s">
        <v>79</v>
      </c>
      <c r="E374" s="96">
        <v>0</v>
      </c>
      <c r="G374" s="44"/>
    </row>
    <row r="375" spans="1:8" hidden="1" x14ac:dyDescent="0.25">
      <c r="A375" t="s">
        <v>117</v>
      </c>
      <c r="D375" t="s">
        <v>134</v>
      </c>
      <c r="E375" s="96">
        <v>0</v>
      </c>
    </row>
    <row r="376" spans="1:8" hidden="1" x14ac:dyDescent="0.25">
      <c r="A376" t="s">
        <v>117</v>
      </c>
      <c r="D376" t="s">
        <v>82</v>
      </c>
      <c r="E376" s="96">
        <v>0</v>
      </c>
    </row>
    <row r="377" spans="1:8" hidden="1" x14ac:dyDescent="0.25">
      <c r="A377" t="s">
        <v>117</v>
      </c>
      <c r="D377" t="s">
        <v>135</v>
      </c>
      <c r="E377" s="96">
        <v>0</v>
      </c>
    </row>
    <row r="378" spans="1:8" hidden="1" x14ac:dyDescent="0.25">
      <c r="E378" s="96"/>
    </row>
    <row r="379" spans="1:8" hidden="1" x14ac:dyDescent="0.25">
      <c r="A379" t="s">
        <v>99</v>
      </c>
      <c r="D379" t="s">
        <v>17</v>
      </c>
      <c r="E379" s="96">
        <v>0</v>
      </c>
    </row>
    <row r="380" spans="1:8" hidden="1" x14ac:dyDescent="0.25">
      <c r="A380" t="s">
        <v>99</v>
      </c>
      <c r="D380" t="s">
        <v>23</v>
      </c>
      <c r="E380" s="96">
        <v>0</v>
      </c>
    </row>
    <row r="381" spans="1:8" hidden="1" x14ac:dyDescent="0.25">
      <c r="A381" t="s">
        <v>99</v>
      </c>
      <c r="D381" t="s">
        <v>79</v>
      </c>
      <c r="E381" s="96">
        <v>0</v>
      </c>
    </row>
    <row r="382" spans="1:8" hidden="1" x14ac:dyDescent="0.25">
      <c r="A382" t="s">
        <v>99</v>
      </c>
      <c r="D382" t="s">
        <v>134</v>
      </c>
      <c r="E382" s="96">
        <v>0</v>
      </c>
    </row>
    <row r="383" spans="1:8" hidden="1" x14ac:dyDescent="0.25">
      <c r="A383" t="s">
        <v>99</v>
      </c>
      <c r="D383" t="s">
        <v>82</v>
      </c>
      <c r="E383" s="96">
        <v>0</v>
      </c>
    </row>
    <row r="384" spans="1:8" hidden="1" x14ac:dyDescent="0.25">
      <c r="A384" t="s">
        <v>99</v>
      </c>
      <c r="D384" t="s">
        <v>135</v>
      </c>
      <c r="E384" s="96">
        <v>0</v>
      </c>
    </row>
    <row r="385" spans="5:5" hidden="1" x14ac:dyDescent="0.25">
      <c r="E385" s="96"/>
    </row>
    <row r="386" spans="5:5" hidden="1" x14ac:dyDescent="0.25"/>
    <row r="387" spans="5:5" hidden="1" x14ac:dyDescent="0.25"/>
    <row r="388" spans="5:5" hidden="1" x14ac:dyDescent="0.25"/>
  </sheetData>
  <autoFilter ref="A5:H342">
    <filterColumn colId="0" showButton="0"/>
    <filterColumn colId="1" showButton="0"/>
  </autoFilter>
  <mergeCells count="330">
    <mergeCell ref="A160:C160"/>
    <mergeCell ref="A114:C114"/>
    <mergeCell ref="A115:C115"/>
    <mergeCell ref="A252:C252"/>
    <mergeCell ref="A187:C187"/>
    <mergeCell ref="A190:C190"/>
    <mergeCell ref="A196:C196"/>
    <mergeCell ref="A203:C203"/>
    <mergeCell ref="A207:C207"/>
    <mergeCell ref="A212:C212"/>
    <mergeCell ref="A216:C216"/>
    <mergeCell ref="A242:C242"/>
    <mergeCell ref="A234:C234"/>
    <mergeCell ref="A237:C237"/>
    <mergeCell ref="A241:C241"/>
    <mergeCell ref="A243:C243"/>
    <mergeCell ref="A231:C231"/>
    <mergeCell ref="A232:C232"/>
    <mergeCell ref="A233:C233"/>
    <mergeCell ref="A192:C192"/>
    <mergeCell ref="A208:C208"/>
    <mergeCell ref="A209:C209"/>
    <mergeCell ref="A213:C213"/>
    <mergeCell ref="A214:C214"/>
    <mergeCell ref="A30:C30"/>
    <mergeCell ref="A31:C31"/>
    <mergeCell ref="A113:C113"/>
    <mergeCell ref="A120:C120"/>
    <mergeCell ref="A122:C122"/>
    <mergeCell ref="A124:C124"/>
    <mergeCell ref="A127:C127"/>
    <mergeCell ref="A133:C133"/>
    <mergeCell ref="A135:C135"/>
    <mergeCell ref="A161:C161"/>
    <mergeCell ref="A169:C169"/>
    <mergeCell ref="A12:C12"/>
    <mergeCell ref="A19:C19"/>
    <mergeCell ref="A26:C26"/>
    <mergeCell ref="A29:C29"/>
    <mergeCell ref="A34:C34"/>
    <mergeCell ref="A43:C43"/>
    <mergeCell ref="A49:C49"/>
    <mergeCell ref="A55:C55"/>
    <mergeCell ref="A13:C13"/>
    <mergeCell ref="A14:C14"/>
    <mergeCell ref="A15:C15"/>
    <mergeCell ref="A16:C16"/>
    <mergeCell ref="A17:C17"/>
    <mergeCell ref="A18:C18"/>
    <mergeCell ref="A20:C20"/>
    <mergeCell ref="A50:C50"/>
    <mergeCell ref="A51:C51"/>
    <mergeCell ref="A52:C52"/>
    <mergeCell ref="A53:C53"/>
    <mergeCell ref="A54:C54"/>
    <mergeCell ref="A27:C27"/>
    <mergeCell ref="A28:C28"/>
    <mergeCell ref="A119:C119"/>
    <mergeCell ref="A123:C123"/>
    <mergeCell ref="A126:C126"/>
    <mergeCell ref="A128:C128"/>
    <mergeCell ref="A150:C150"/>
    <mergeCell ref="A158:C158"/>
    <mergeCell ref="A159:C159"/>
    <mergeCell ref="A74:C74"/>
    <mergeCell ref="A81:C81"/>
    <mergeCell ref="A87:C87"/>
    <mergeCell ref="A100:C100"/>
    <mergeCell ref="A93:C93"/>
    <mergeCell ref="A95:C95"/>
    <mergeCell ref="A97:C97"/>
    <mergeCell ref="A106:C106"/>
    <mergeCell ref="A108:C108"/>
    <mergeCell ref="A140:C140"/>
    <mergeCell ref="A148:C148"/>
    <mergeCell ref="A155:C155"/>
    <mergeCell ref="A137:C137"/>
    <mergeCell ref="A244:C244"/>
    <mergeCell ref="A57:C57"/>
    <mergeCell ref="A68:C68"/>
    <mergeCell ref="A195:C195"/>
    <mergeCell ref="A257:C257"/>
    <mergeCell ref="A259:C259"/>
    <mergeCell ref="A264:C264"/>
    <mergeCell ref="A129:C129"/>
    <mergeCell ref="A130:C130"/>
    <mergeCell ref="A131:C131"/>
    <mergeCell ref="A246:C246"/>
    <mergeCell ref="A247:C247"/>
    <mergeCell ref="A248:C248"/>
    <mergeCell ref="A249:C249"/>
    <mergeCell ref="A250:C250"/>
    <mergeCell ref="A251:C251"/>
    <mergeCell ref="A253:C253"/>
    <mergeCell ref="A235:C235"/>
    <mergeCell ref="A236:C236"/>
    <mergeCell ref="A238:C238"/>
    <mergeCell ref="A239:C239"/>
    <mergeCell ref="A240:C240"/>
    <mergeCell ref="A69:C69"/>
    <mergeCell ref="A116:C116"/>
    <mergeCell ref="A193:C193"/>
    <mergeCell ref="A194:C194"/>
    <mergeCell ref="A198:C198"/>
    <mergeCell ref="A337:C337"/>
    <mergeCell ref="A342:C342"/>
    <mergeCell ref="A278:C278"/>
    <mergeCell ref="A308:C308"/>
    <mergeCell ref="A309:C309"/>
    <mergeCell ref="A294:C294"/>
    <mergeCell ref="A293:C293"/>
    <mergeCell ref="A254:C254"/>
    <mergeCell ref="A225:C225"/>
    <mergeCell ref="A226:C226"/>
    <mergeCell ref="A255:C255"/>
    <mergeCell ref="A256:C256"/>
    <mergeCell ref="A263:C263"/>
    <mergeCell ref="A266:C266"/>
    <mergeCell ref="A270:C270"/>
    <mergeCell ref="A276:C276"/>
    <mergeCell ref="A269:C269"/>
    <mergeCell ref="A271:C271"/>
    <mergeCell ref="A260:C260"/>
    <mergeCell ref="A261:C261"/>
    <mergeCell ref="A267:C267"/>
    <mergeCell ref="A188:C188"/>
    <mergeCell ref="A189:C189"/>
    <mergeCell ref="A132:C132"/>
    <mergeCell ref="A134:C134"/>
    <mergeCell ref="A136:C136"/>
    <mergeCell ref="A138:C138"/>
    <mergeCell ref="A139:C139"/>
    <mergeCell ref="A141:C141"/>
    <mergeCell ref="A142:C142"/>
    <mergeCell ref="A184:C184"/>
    <mergeCell ref="A185:C185"/>
    <mergeCell ref="A186:C186"/>
    <mergeCell ref="A176:C176"/>
    <mergeCell ref="A178:C178"/>
    <mergeCell ref="A182:C182"/>
    <mergeCell ref="A162:C162"/>
    <mergeCell ref="A163:C163"/>
    <mergeCell ref="A168:C168"/>
    <mergeCell ref="A170:C170"/>
    <mergeCell ref="A180:C180"/>
    <mergeCell ref="A181:C181"/>
    <mergeCell ref="A183:C183"/>
    <mergeCell ref="A164:C164"/>
    <mergeCell ref="A165:C165"/>
    <mergeCell ref="A32:C32"/>
    <mergeCell ref="A33:C33"/>
    <mergeCell ref="A35:C35"/>
    <mergeCell ref="A36:C36"/>
    <mergeCell ref="A47:C47"/>
    <mergeCell ref="A37:C37"/>
    <mergeCell ref="A38:C38"/>
    <mergeCell ref="A39:C39"/>
    <mergeCell ref="A40:C40"/>
    <mergeCell ref="A41:C41"/>
    <mergeCell ref="A42:C42"/>
    <mergeCell ref="A44:C44"/>
    <mergeCell ref="A45:C45"/>
    <mergeCell ref="A46:C46"/>
    <mergeCell ref="A166:C166"/>
    <mergeCell ref="A305:C305"/>
    <mergeCell ref="A311:C311"/>
    <mergeCell ref="A313:C313"/>
    <mergeCell ref="A314:C314"/>
    <mergeCell ref="A339:C339"/>
    <mergeCell ref="A340:C340"/>
    <mergeCell ref="A333:C333"/>
    <mergeCell ref="A334:C334"/>
    <mergeCell ref="A335:C335"/>
    <mergeCell ref="A338:C338"/>
    <mergeCell ref="A328:C328"/>
    <mergeCell ref="A329:C329"/>
    <mergeCell ref="A330:C330"/>
    <mergeCell ref="A331:C331"/>
    <mergeCell ref="A336:C336"/>
    <mergeCell ref="A326:C326"/>
    <mergeCell ref="A327:C327"/>
    <mergeCell ref="A332:C332"/>
    <mergeCell ref="A191:C191"/>
    <mergeCell ref="A224:C224"/>
    <mergeCell ref="A221:C221"/>
    <mergeCell ref="A229:C229"/>
    <mergeCell ref="A258:C258"/>
    <mergeCell ref="A265:C265"/>
    <mergeCell ref="A262:C262"/>
    <mergeCell ref="A298:C298"/>
    <mergeCell ref="A280:C280"/>
    <mergeCell ref="A281:C281"/>
    <mergeCell ref="A286:C286"/>
    <mergeCell ref="A284:C284"/>
    <mergeCell ref="A288:C288"/>
    <mergeCell ref="A297:C297"/>
    <mergeCell ref="A268:C268"/>
    <mergeCell ref="A274:C274"/>
    <mergeCell ref="A223:C223"/>
    <mergeCell ref="A215:C215"/>
    <mergeCell ref="A217:C217"/>
    <mergeCell ref="A204:C204"/>
    <mergeCell ref="A205:C205"/>
    <mergeCell ref="A220:C220"/>
    <mergeCell ref="A206:C206"/>
    <mergeCell ref="A210:C210"/>
    <mergeCell ref="A200:C200"/>
    <mergeCell ref="A201:C201"/>
    <mergeCell ref="A202:C202"/>
    <mergeCell ref="A211:C211"/>
    <mergeCell ref="A218:C218"/>
    <mergeCell ref="A219:C219"/>
    <mergeCell ref="A60:C60"/>
    <mergeCell ref="A61:C61"/>
    <mergeCell ref="A62:C62"/>
    <mergeCell ref="A82:C82"/>
    <mergeCell ref="A88:C88"/>
    <mergeCell ref="A94:C94"/>
    <mergeCell ref="A59:C59"/>
    <mergeCell ref="A167:C167"/>
    <mergeCell ref="A296:C296"/>
    <mergeCell ref="A295:C295"/>
    <mergeCell ref="A272:C272"/>
    <mergeCell ref="A273:C273"/>
    <mergeCell ref="A282:C282"/>
    <mergeCell ref="A290:C290"/>
    <mergeCell ref="A156:C156"/>
    <mergeCell ref="A117:C117"/>
    <mergeCell ref="A118:C118"/>
    <mergeCell ref="A121:C121"/>
    <mergeCell ref="A199:C199"/>
    <mergeCell ref="A125:C125"/>
    <mergeCell ref="A179:C179"/>
    <mergeCell ref="A144:C144"/>
    <mergeCell ref="A145:C145"/>
    <mergeCell ref="A146:C146"/>
    <mergeCell ref="A65:C65"/>
    <mergeCell ref="A66:C66"/>
    <mergeCell ref="A112:C112"/>
    <mergeCell ref="A83:C83"/>
    <mergeCell ref="A84:C84"/>
    <mergeCell ref="A85:C85"/>
    <mergeCell ref="A86:C86"/>
    <mergeCell ref="A91:C91"/>
    <mergeCell ref="A92:C92"/>
    <mergeCell ref="A99:C99"/>
    <mergeCell ref="A103:C103"/>
    <mergeCell ref="A104:C104"/>
    <mergeCell ref="A111:C111"/>
    <mergeCell ref="A67:C67"/>
    <mergeCell ref="A96:C96"/>
    <mergeCell ref="A101:C101"/>
    <mergeCell ref="A102:C102"/>
    <mergeCell ref="A98:C98"/>
    <mergeCell ref="A107:C107"/>
    <mergeCell ref="A109:C109"/>
    <mergeCell ref="A105:C105"/>
    <mergeCell ref="A110:C110"/>
    <mergeCell ref="A177:C177"/>
    <mergeCell ref="A21:C21"/>
    <mergeCell ref="A22:C22"/>
    <mergeCell ref="A1:H1"/>
    <mergeCell ref="A3:H3"/>
    <mergeCell ref="A5:C5"/>
    <mergeCell ref="A23:C23"/>
    <mergeCell ref="A24:C24"/>
    <mergeCell ref="A25:C25"/>
    <mergeCell ref="A7:C7"/>
    <mergeCell ref="A8:C8"/>
    <mergeCell ref="A9:C9"/>
    <mergeCell ref="A10:C10"/>
    <mergeCell ref="A11:C11"/>
    <mergeCell ref="A79:C79"/>
    <mergeCell ref="A80:C80"/>
    <mergeCell ref="A89:C89"/>
    <mergeCell ref="A90:C90"/>
    <mergeCell ref="A63:C63"/>
    <mergeCell ref="A143:C143"/>
    <mergeCell ref="A70:C70"/>
    <mergeCell ref="A56:C56"/>
    <mergeCell ref="A58:C58"/>
    <mergeCell ref="A64:C64"/>
    <mergeCell ref="A6:C6"/>
    <mergeCell ref="A157:C157"/>
    <mergeCell ref="A227:C227"/>
    <mergeCell ref="A228:C228"/>
    <mergeCell ref="A230:C230"/>
    <mergeCell ref="A174:C174"/>
    <mergeCell ref="A175:C175"/>
    <mergeCell ref="A147:C147"/>
    <mergeCell ref="A149:C149"/>
    <mergeCell ref="A152:C152"/>
    <mergeCell ref="A153:C153"/>
    <mergeCell ref="A154:C154"/>
    <mergeCell ref="A151:C151"/>
    <mergeCell ref="A171:C171"/>
    <mergeCell ref="A172:C172"/>
    <mergeCell ref="A173:C173"/>
    <mergeCell ref="A71:C71"/>
    <mergeCell ref="A72:C72"/>
    <mergeCell ref="A73:C73"/>
    <mergeCell ref="A77:C77"/>
    <mergeCell ref="A78:C78"/>
    <mergeCell ref="A75:C75"/>
    <mergeCell ref="A76:C76"/>
    <mergeCell ref="A48:C48"/>
    <mergeCell ref="A320:C320"/>
    <mergeCell ref="A341:C341"/>
    <mergeCell ref="A304:C304"/>
    <mergeCell ref="A275:C275"/>
    <mergeCell ref="A277:C277"/>
    <mergeCell ref="A279:C279"/>
    <mergeCell ref="A283:C283"/>
    <mergeCell ref="A285:C285"/>
    <mergeCell ref="A287:C287"/>
    <mergeCell ref="A291:C291"/>
    <mergeCell ref="A310:C310"/>
    <mergeCell ref="A315:C315"/>
    <mergeCell ref="A322:C322"/>
    <mergeCell ref="A323:C323"/>
    <mergeCell ref="A324:C324"/>
    <mergeCell ref="A318:C318"/>
    <mergeCell ref="A319:C319"/>
    <mergeCell ref="A301:C301"/>
    <mergeCell ref="A302:C302"/>
    <mergeCell ref="A303:C303"/>
    <mergeCell ref="A307:C307"/>
    <mergeCell ref="A317:C317"/>
    <mergeCell ref="A316:C316"/>
    <mergeCell ref="A299:C299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  <rowBreaks count="5" manualBreakCount="5">
    <brk id="58" max="7" man="1"/>
    <brk id="129" max="7" man="1"/>
    <brk id="170" max="7" man="1"/>
    <brk id="230" max="7" man="1"/>
    <brk id="291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3</vt:i4>
      </vt:variant>
    </vt:vector>
  </HeadingPairs>
  <TitlesOfParts>
    <vt:vector size="8" baseType="lpstr">
      <vt:lpstr>SAŽETAK kn</vt:lpstr>
      <vt:lpstr>Prihodi-ekonom.klasif</vt:lpstr>
      <vt:lpstr>Rash-ekonom.klasif</vt:lpstr>
      <vt:lpstr>Prih.i rash. prema izvorima fin</vt:lpstr>
      <vt:lpstr>POSEBNI DIO</vt:lpstr>
      <vt:lpstr>'POSEBNI DIO'!Podrucje_ispisa</vt:lpstr>
      <vt:lpstr>'Prih.i rash. prema izvorima fin'!Podrucje_ispisa</vt:lpstr>
      <vt:lpstr>'SAŽETAK kn'!Podrucje_ispisa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Katarina</cp:lastModifiedBy>
  <cp:lastPrinted>2023-03-13T12:44:12Z</cp:lastPrinted>
  <dcterms:created xsi:type="dcterms:W3CDTF">2022-08-12T12:51:27Z</dcterms:created>
  <dcterms:modified xsi:type="dcterms:W3CDTF">2023-03-15T06:43:20Z</dcterms:modified>
</cp:coreProperties>
</file>